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codeName="ThisWorkbook" defaultThemeVersion="124226"/>
  <mc:AlternateContent xmlns:mc="http://schemas.openxmlformats.org/markup-compatibility/2006">
    <mc:Choice Requires="x15">
      <x15ac:absPath xmlns:x15ac="http://schemas.microsoft.com/office/spreadsheetml/2010/11/ac" url="/Users/simonmawer/Box/External Files/Projects/SPH Webinar/"/>
    </mc:Choice>
  </mc:AlternateContent>
  <xr:revisionPtr revIDLastSave="0" documentId="8_{EB645568-635A-5A4F-81D7-740BCBC40986}" xr6:coauthVersionLast="43" xr6:coauthVersionMax="43" xr10:uidLastSave="{00000000-0000-0000-0000-000000000000}"/>
  <bookViews>
    <workbookView xWindow="0" yWindow="0" windowWidth="28800" windowHeight="18000" activeTab="2" xr2:uid="{43EB5893-160E-0243-BF97-BBF7DD41A1C3}"/>
  </bookViews>
  <sheets>
    <sheet name="Disclaimer" sheetId="7" state="hidden" r:id="rId1"/>
    <sheet name="Sheet1" sheetId="16" state="hidden" r:id="rId2"/>
    <sheet name="Tornado" sheetId="5" r:id="rId3"/>
    <sheet name="Inputs" sheetId="2" r:id="rId4"/>
    <sheet name="Calculations" sheetId="1" r:id="rId5"/>
  </sheets>
  <definedNames>
    <definedName name="_xlchart.v1.0" hidden="1">Tornado!$C$120:$C$129</definedName>
    <definedName name="_xlchart.v1.1" hidden="1">Tornado!$D$120:$D$129</definedName>
    <definedName name="AE_Rate_Base">Inputs!#REF!</definedName>
    <definedName name="AE_Rate_Best">Inputs!#REF!</definedName>
    <definedName name="AE_Rate_Worst">Inputs!#REF!</definedName>
    <definedName name="Average_Cost_of_a_Minor_Injury">Calculations!#REF!</definedName>
    <definedName name="Average_Cost_of_a_Minor_Injury_Growth_Rate">Inputs!#REF!</definedName>
    <definedName name="Average_Cost_of_a_Serious_Injury">Calculations!#REF!</definedName>
    <definedName name="Average_Cost_of_a_Serious_Injury_Growth_Rate">Inputs!#REF!</definedName>
    <definedName name="Average_Cost_to_Recruit___Train_a_OR_Nurse">Calculations!$C$43:$G$43</definedName>
    <definedName name="Average_Cost_to_Recruit___Train_an_OR_Physician">Calculations!#REF!</definedName>
    <definedName name="Average_Length_of_Stay">Inputs!#REF!</definedName>
    <definedName name="BEST">Inputs!$I$57</definedName>
    <definedName name="Change_Period">Inputs!$E$65</definedName>
    <definedName name="Change_year">Inputs!$D$12</definedName>
    <definedName name="Costs_A">Inputs!$E$174</definedName>
    <definedName name="Costs_B">Inputs!$G$174</definedName>
    <definedName name="Costs_C">Inputs!$I$174</definedName>
    <definedName name="Costs_Ref_A">Inputs!$E$176</definedName>
    <definedName name="Costs_Ref_B">Inputs!$G$176</definedName>
    <definedName name="Costs_Ref_C">Inputs!$I$176</definedName>
    <definedName name="CostsGrow_A">Inputs!$E$175</definedName>
    <definedName name="CostsGrow_B">Inputs!$G$175</definedName>
    <definedName name="CostsGrow_C">Inputs!$I$175</definedName>
    <definedName name="Discount_Rate">Inputs!$D$9</definedName>
    <definedName name="Employee_Injuries__baseline">Calculations!$C$59:$G$59</definedName>
    <definedName name="Employee_injury_costs__baseline">#REF!</definedName>
    <definedName name="Employee_Injury_Reduction_Rate" localSheetId="4">Calculations!$C$60:$G$60</definedName>
    <definedName name="Employee_injury_Reduction_Rate">#REF!</definedName>
    <definedName name="Employee_Safety_Costs__w__Program" localSheetId="4">Calculations!$C$61:$G$61</definedName>
    <definedName name="Employee_Safety_Costs__w__Program">#REF!</definedName>
    <definedName name="Employee_Safety_Savings" localSheetId="4">Calculations!$C$62:$G$62</definedName>
    <definedName name="Employee_Safety_Savings">#REF!</definedName>
    <definedName name="FallCost_A">Inputs!$E$111</definedName>
    <definedName name="FallCost_C">Inputs!$I$111</definedName>
    <definedName name="FallGrowth_A">Inputs!$E$121</definedName>
    <definedName name="FallGrowth_C">Inputs!$I$121</definedName>
    <definedName name="FallHarm_C">Inputs!$I$116</definedName>
    <definedName name="FallPeriod_A">Inputs!$E$124</definedName>
    <definedName name="FallPeriod_C">Inputs!$I$124</definedName>
    <definedName name="FallRate_A">Inputs!$E$115</definedName>
    <definedName name="FallRate_C">Inputs!$I$115</definedName>
    <definedName name="FallReduction_A">Inputs!$E$125</definedName>
    <definedName name="FallReduction_C">Inputs!$I$125</definedName>
    <definedName name="FallRef_A">Inputs!$E$112</definedName>
    <definedName name="FallRef_C">Inputs!$I$112</definedName>
    <definedName name="FallsHarm_A">Inputs!$E$116</definedName>
    <definedName name="FallYr_A">Inputs!$E$123</definedName>
    <definedName name="FallYr_C">Inputs!$I$123</definedName>
    <definedName name="Final_Patient_Patient_Injury_Reduction_Rate">Inputs!$E$144:$I$144</definedName>
    <definedName name="Growth_rate">Inputs!$D$13</definedName>
    <definedName name="Initial_Average_Cost_of_a_Minor_Injury">Inputs!#REF!</definedName>
    <definedName name="Initial_Average_Cost_of_a_Serious_Injury">Inputs!#REF!</definedName>
    <definedName name="Initial_Number_of_Patients___Year">Inputs!#REF!</definedName>
    <definedName name="LR_ChangeP_C">Inputs!$I$92</definedName>
    <definedName name="LR_ChangePeriod">Inputs!$G$92</definedName>
    <definedName name="LR_ChangePeriod_C">Inputs!$I$91</definedName>
    <definedName name="LR_ChangePeriod_Worst">Inputs!$E$92</definedName>
    <definedName name="LR_ChangeYear">Inputs!$G$91</definedName>
    <definedName name="LR_ChangeYear_C">Inputs!$I$91</definedName>
    <definedName name="LR_ChangeYear_Worst">Inputs!$E$91</definedName>
    <definedName name="LR_Cost_C">Inputs!$I$87</definedName>
    <definedName name="LR_Costs_Base">Inputs!$G$87</definedName>
    <definedName name="LR_Costs_Worst">Inputs!$E$87</definedName>
    <definedName name="LR_Growth_Base">Inputs!$G$88</definedName>
    <definedName name="LR_Growth_C">Inputs!$I$88</definedName>
    <definedName name="LR_Growth_Worst">Inputs!$E$88</definedName>
    <definedName name="LR_Reduction_Base">Inputs!$G$93</definedName>
    <definedName name="LR_Reduction_Best">Inputs!$I$93</definedName>
    <definedName name="LR_Reduction_C">Inputs!$I$93</definedName>
    <definedName name="LR_Reduction_Worst">Inputs!$E$93</definedName>
    <definedName name="LR_Ref_C">Inputs!$I$89</definedName>
    <definedName name="LR_Ref_Worst">Inputs!$E$89</definedName>
    <definedName name="LR_RefYear">Inputs!$G$89</definedName>
    <definedName name="mb_calculationLocation" localSheetId="4" hidden="1">Calculations!$B$22</definedName>
    <definedName name="mb_ProjectNumber" localSheetId="4" hidden="1">"19-996-9"</definedName>
    <definedName name="MedMal_Change_Period">Inputs!$G$65</definedName>
    <definedName name="MedMal_Change_Year">Inputs!$G$64</definedName>
    <definedName name="MedMal_Cost">Inputs!$G$60</definedName>
    <definedName name="MedMal_Growth_Rate">Inputs!$G$61</definedName>
    <definedName name="MedMal_Reduction_Rate">Inputs!$G$66</definedName>
    <definedName name="MedMal_Ref_Year">Inputs!$G$62</definedName>
    <definedName name="Needle_sticks_Reduction_Rate">#REF!</definedName>
    <definedName name="NPV_Employee_Safety">Calculations!$C$96</definedName>
    <definedName name="NPV_MedMal">Calculations!$C$95</definedName>
    <definedName name="NPV_OngoingCosts_A">Calculations!$K$105</definedName>
    <definedName name="NPV_OngoingCosts_B">Calculations!$C$105</definedName>
    <definedName name="NPV_OngoingCosts_C">Calculations!$S$105</definedName>
    <definedName name="NPV_Patient_Safety">Calculations!$C$97</definedName>
    <definedName name="NPV_Productivity">Calculations!$C$99</definedName>
    <definedName name="NPV_Retention">Calculations!$C$98</definedName>
    <definedName name="Number_of_Employees_Handling_Patients">Calculations!$C$41:$G$41</definedName>
    <definedName name="Number_of_Minor_Patient_Injuries__baseline">Calculations!#REF!</definedName>
    <definedName name="Number_of_OR_Nurses_Quit__baseline">Calculations!$C$42:$G$42</definedName>
    <definedName name="Number_of_Patient_Days">Calculations!#REF!</definedName>
    <definedName name="Number_of_Patient_Injury__baseline">Calculations!#REF!</definedName>
    <definedName name="Number_of_Patients">Calculations!#REF!</definedName>
    <definedName name="Number_of_Physicians_Quit__baseline">Calculations!#REF!</definedName>
    <definedName name="Number_of_Serious_Patient_Injuries__baseline">Calculations!#REF!</definedName>
    <definedName name="Patient_Injury_and_Additional_Treatment_Savings">Calculations!#REF!</definedName>
    <definedName name="Patient_Injury_per_1000_patient_days">Inputs!#REF!</definedName>
    <definedName name="Patient_Injury_Reduction_Rate">Calculations!#REF!</definedName>
    <definedName name="Patient_Volume_Growth_Rate">Inputs!#REF!</definedName>
    <definedName name="Percentage_of_Patient_Incidents_with_minor_patient_injury">Inputs!#REF!</definedName>
    <definedName name="Percentage_of_Patient_Incidents_with_serious_patient_injury">Inputs!#REF!</definedName>
    <definedName name="PI_ChangePeriod_A">Inputs!$E$142</definedName>
    <definedName name="PI_ChangePeriod_C">Inputs!$I$142</definedName>
    <definedName name="PI_ChangeYr_A">Inputs!$E$141</definedName>
    <definedName name="PI_ChangeYr_C">Inputs!$I$141</definedName>
    <definedName name="PI12_Cost_A">Inputs!$E$128</definedName>
    <definedName name="PI12_Cost_C">Inputs!$I$128</definedName>
    <definedName name="PI12_Grow_A">Inputs!$E$129</definedName>
    <definedName name="PI12_Grow_C">Inputs!$I$129</definedName>
    <definedName name="PI12_PerYr_A">Inputs!$E$132</definedName>
    <definedName name="PI12_PerYr_C">Inputs!$I$132</definedName>
    <definedName name="PI12_Rate_A">Inputs!$E$131</definedName>
    <definedName name="PI12_Rate_C">Inputs!$I$131</definedName>
    <definedName name="PI12_Reduce_A">Inputs!$E$143</definedName>
    <definedName name="PI12_Reduce_C">Inputs!$I$143</definedName>
    <definedName name="PI12_Ref_A">Inputs!$E$133</definedName>
    <definedName name="PI12_Ref_C">Inputs!$I$133</definedName>
    <definedName name="PI34_Cost_A">Inputs!$E$135</definedName>
    <definedName name="PI34_Cost_C">Inputs!$I$135</definedName>
    <definedName name="PI34_Grow_A">Inputs!$E$136</definedName>
    <definedName name="PI34_Grow_C">Inputs!$I$136</definedName>
    <definedName name="PI34_PerYr_A">Inputs!$E$138</definedName>
    <definedName name="PI34_PerYr_C">Inputs!$I$138</definedName>
    <definedName name="PI34_Rate_A">Inputs!$E$137</definedName>
    <definedName name="PI34_Rate_C">Inputs!$I$137</definedName>
    <definedName name="PI34_Reduce_A">Inputs!$E$144</definedName>
    <definedName name="PI34_Reduce_C">Inputs!$I$144</definedName>
    <definedName name="PI34_Ref_A">Inputs!$E$139</definedName>
    <definedName name="PI34_Ref_C">Inputs!$I$139</definedName>
    <definedName name="_xlnm.Print_Area" localSheetId="4">Calculations!$B$15:$H$92</definedName>
    <definedName name="_xlnm.Print_Area" localSheetId="2">Tornado!$B$3:$R$76</definedName>
    <definedName name="PtDays_A">Inputs!$E$113</definedName>
    <definedName name="PtDays_C">Inputs!$I$113</definedName>
    <definedName name="PtDaysRef_A">Inputs!$E$114</definedName>
    <definedName name="PtDaysRef_C">Inputs!$I$114</definedName>
    <definedName name="Reference_year">Inputs!$D$11</definedName>
    <definedName name="Retention_Costs_Savings">Calculations!$C$47:$G$47</definedName>
    <definedName name="Setup_A">Inputs!$E$154</definedName>
    <definedName name="Setup_B">Inputs!$G$154</definedName>
    <definedName name="Setup_C">Inputs!$I$154</definedName>
    <definedName name="SHC_Patient_Days">Inputs!$G$113</definedName>
    <definedName name="Staff_A">Inputs!$E$96</definedName>
    <definedName name="Staff_C">Inputs!$I$96</definedName>
    <definedName name="StaffCost_A">Inputs!$E$100</definedName>
    <definedName name="StaffCost_C">Inputs!$I$100</definedName>
    <definedName name="StaffCostGrow_A">Inputs!$E$101</definedName>
    <definedName name="StaffCostGrow_C">Inputs!$I$101</definedName>
    <definedName name="StaffCostRef_A">Inputs!$E$102</definedName>
    <definedName name="StaffCostRef_C">Inputs!$I$102</definedName>
    <definedName name="StaffGrowth_A">Inputs!$E$97</definedName>
    <definedName name="StaffGrowth_C">Inputs!$I$97</definedName>
    <definedName name="StaffRef_A">Inputs!$E$98</definedName>
    <definedName name="StaffRef_C">Inputs!$I$98</definedName>
    <definedName name="Standard_Growth_Rate">Inputs!$D$13</definedName>
    <definedName name="TO_Period_A">Inputs!$E$108</definedName>
    <definedName name="TO_Period_C">Inputs!$I$108</definedName>
    <definedName name="TO_Rate_A">Inputs!$E$104</definedName>
    <definedName name="TO_Rate_C">Inputs!$I$104</definedName>
    <definedName name="TO_Rate_Injury_A">Inputs!$E$105</definedName>
    <definedName name="TO_Rate_Injury_C">Inputs!$I$105</definedName>
    <definedName name="TO_Red_A">Inputs!$E$106</definedName>
    <definedName name="TO_Red_C">Inputs!$I$106</definedName>
    <definedName name="TO_Yr_A">Inputs!$E$107</definedName>
    <definedName name="TO_Yr_C">Inputs!$I$107</definedName>
    <definedName name="Total_Cost_of_Patient_Injury__w__Program">Calculations!#REF!</definedName>
    <definedName name="Total_Cost_of_Patient_Patient_Injury__baseline">Calculations!#REF!</definedName>
    <definedName name="Total_Retention_Cost__baseline">Calculations!#REF!</definedName>
    <definedName name="Total_Retention_Cost__w__Program">Calculations!$C$46:$G$46</definedName>
    <definedName name="WC_ChangePeriod">Inputs!$G$75</definedName>
    <definedName name="WC_ChangePeriod_Best">Inputs!$I$75</definedName>
    <definedName name="WC_ChangePeriod_Worst">Inputs!$E$75</definedName>
    <definedName name="WC_ChangeYear">Inputs!$G$74</definedName>
    <definedName name="WC_ChangeYear_Best">Inputs!$I$74</definedName>
    <definedName name="WC_ChangeYear_Worst">Inputs!$E$74</definedName>
    <definedName name="WC_Cost_BC">Inputs!$G$69</definedName>
    <definedName name="WC_Costs_Best">Inputs!$I$69</definedName>
    <definedName name="WC_Costs_Worst">Inputs!$E$69</definedName>
    <definedName name="WC_Growth_BC">Inputs!$G$71</definedName>
    <definedName name="WC_Growth_Best">Inputs!$I$71</definedName>
    <definedName name="WC_Growth_Worst">Inputs!$E$71</definedName>
    <definedName name="WC_Reduction_Best">Inputs!$I$76</definedName>
    <definedName name="WC_Reduction_Worst">Inputs!$E$76</definedName>
    <definedName name="WC_ReductionRate_BC">Inputs!$G$76</definedName>
    <definedName name="WC_ReductionRate_WC">Inputs!$E$76</definedName>
    <definedName name="WC_Ref_Best">Inputs!$I$72</definedName>
    <definedName name="WC_Ref_Worst">Inputs!$E$72</definedName>
    <definedName name="WC_Ref_Year">Inputs!$G$72</definedName>
    <definedName name="WORST">Inputs!$E$57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67" i="2" l="1"/>
  <c r="E69" i="2" l="1"/>
  <c r="I69" i="2"/>
  <c r="I159" i="2"/>
  <c r="E159" i="2"/>
  <c r="G131" i="2"/>
  <c r="G137" i="2"/>
  <c r="E100" i="2"/>
  <c r="I100" i="2"/>
  <c r="G160" i="2"/>
  <c r="I160" i="2" s="1"/>
  <c r="G132" i="2"/>
  <c r="E48" i="2"/>
  <c r="E49" i="2"/>
  <c r="E50" i="2"/>
  <c r="E51" i="2"/>
  <c r="E52" i="2"/>
  <c r="E53" i="2"/>
  <c r="E47" i="2"/>
  <c r="I166" i="2" l="1"/>
  <c r="E166" i="2"/>
  <c r="G83" i="2" l="1"/>
  <c r="G87" i="2" s="1"/>
  <c r="G128" i="2" l="1"/>
  <c r="G135" i="2"/>
  <c r="I119" i="2"/>
  <c r="E119" i="2"/>
  <c r="G118" i="2"/>
  <c r="E118" i="2" s="1"/>
  <c r="E104" i="2"/>
  <c r="I104" i="2"/>
  <c r="G85" i="2"/>
  <c r="G117" i="2"/>
  <c r="G120" i="2" s="1"/>
  <c r="E97" i="2"/>
  <c r="I97" i="2"/>
  <c r="E84" i="2"/>
  <c r="I84" i="2"/>
  <c r="E82" i="2"/>
  <c r="I82" i="2"/>
  <c r="I92" i="2"/>
  <c r="E92" i="2"/>
  <c r="I118" i="2" l="1"/>
  <c r="E116" i="2"/>
  <c r="I115" i="2"/>
  <c r="E115" i="2"/>
  <c r="I114" i="2"/>
  <c r="E114" i="2"/>
  <c r="I113" i="2"/>
  <c r="E113" i="2"/>
  <c r="I112" i="2"/>
  <c r="E112" i="2"/>
  <c r="I111" i="2"/>
  <c r="E111" i="2"/>
  <c r="E120" i="2" s="1"/>
  <c r="I120" i="2" l="1"/>
  <c r="I116" i="2"/>
  <c r="B20" i="5" l="1"/>
  <c r="B34" i="5"/>
  <c r="G66" i="2"/>
  <c r="G76" i="2"/>
  <c r="E160" i="2" l="1"/>
  <c r="G158" i="2"/>
  <c r="E158" i="2" s="1"/>
  <c r="G93" i="2"/>
  <c r="G106" i="2"/>
  <c r="E106" i="2" s="1"/>
  <c r="C38" i="2"/>
  <c r="G171" i="2"/>
  <c r="G170" i="2"/>
  <c r="I116" i="5"/>
  <c r="I117" i="5"/>
  <c r="I115" i="5"/>
  <c r="C40" i="2"/>
  <c r="G163" i="2"/>
  <c r="G152" i="2"/>
  <c r="G153" i="2"/>
  <c r="C33" i="2"/>
  <c r="E170" i="2" l="1"/>
  <c r="I170" i="2"/>
  <c r="I171" i="2"/>
  <c r="E171" i="2"/>
  <c r="G172" i="2"/>
  <c r="I106" i="2"/>
  <c r="I158" i="2"/>
  <c r="G165" i="2"/>
  <c r="G168" i="2" s="1"/>
  <c r="G125" i="2" l="1"/>
  <c r="I81" i="2"/>
  <c r="G161" i="2"/>
  <c r="G174" i="2" s="1"/>
  <c r="I19" i="2"/>
  <c r="G19" i="2"/>
  <c r="E19" i="2"/>
  <c r="S18" i="1"/>
  <c r="T18" i="1" s="1"/>
  <c r="U18" i="1" s="1"/>
  <c r="V18" i="1" s="1"/>
  <c r="W18" i="1" s="1"/>
  <c r="R22" i="1"/>
  <c r="R113" i="1" s="1"/>
  <c r="R95" i="1" s="1"/>
  <c r="R28" i="1"/>
  <c r="R114" i="1" s="1"/>
  <c r="R96" i="1" s="1"/>
  <c r="R29" i="1"/>
  <c r="R30" i="1"/>
  <c r="R34" i="1"/>
  <c r="R115" i="1" s="1"/>
  <c r="R97" i="1" s="1"/>
  <c r="R40" i="1"/>
  <c r="R116" i="1" s="1"/>
  <c r="R98" i="1" s="1"/>
  <c r="R41" i="1"/>
  <c r="R45" i="1"/>
  <c r="R49" i="1"/>
  <c r="R117" i="1" s="1"/>
  <c r="R99" i="1" s="1"/>
  <c r="R50" i="1"/>
  <c r="R51" i="1"/>
  <c r="R53" i="1"/>
  <c r="R54" i="1"/>
  <c r="R58" i="1"/>
  <c r="R118" i="1" s="1"/>
  <c r="R100" i="1" s="1"/>
  <c r="R64" i="1"/>
  <c r="R119" i="1" s="1"/>
  <c r="R101" i="1" s="1"/>
  <c r="R94" i="1"/>
  <c r="K18" i="1"/>
  <c r="L18" i="1" s="1"/>
  <c r="J22" i="1"/>
  <c r="J113" i="1" s="1"/>
  <c r="J95" i="1" s="1"/>
  <c r="J28" i="1"/>
  <c r="J114" i="1" s="1"/>
  <c r="J96" i="1" s="1"/>
  <c r="J29" i="1"/>
  <c r="J30" i="1"/>
  <c r="J34" i="1"/>
  <c r="J40" i="1"/>
  <c r="J116" i="1" s="1"/>
  <c r="J98" i="1" s="1"/>
  <c r="J41" i="1"/>
  <c r="J45" i="1"/>
  <c r="J49" i="1"/>
  <c r="J117" i="1" s="1"/>
  <c r="J99" i="1" s="1"/>
  <c r="J50" i="1"/>
  <c r="J51" i="1"/>
  <c r="J53" i="1"/>
  <c r="J54" i="1"/>
  <c r="J58" i="1"/>
  <c r="J118" i="1" s="1"/>
  <c r="J100" i="1" s="1"/>
  <c r="J64" i="1"/>
  <c r="J119" i="1" s="1"/>
  <c r="J101" i="1" s="1"/>
  <c r="J94" i="1"/>
  <c r="J115" i="1"/>
  <c r="J97" i="1" s="1"/>
  <c r="M18" i="1" l="1"/>
  <c r="I175" i="2"/>
  <c r="E175" i="2"/>
  <c r="I71" i="2"/>
  <c r="E71" i="2"/>
  <c r="I101" i="2"/>
  <c r="E101" i="2"/>
  <c r="G101" i="2"/>
  <c r="I105" i="2"/>
  <c r="E105" i="2"/>
  <c r="G151" i="2"/>
  <c r="E151" i="2" s="1"/>
  <c r="E152" i="2"/>
  <c r="E153" i="2"/>
  <c r="I152" i="2"/>
  <c r="I153" i="2"/>
  <c r="G144" i="2"/>
  <c r="I144" i="2" s="1"/>
  <c r="G143" i="2"/>
  <c r="I143" i="2" s="1"/>
  <c r="I125" i="2"/>
  <c r="E93" i="2"/>
  <c r="I66" i="2"/>
  <c r="C39" i="2"/>
  <c r="C32" i="2"/>
  <c r="C53" i="2"/>
  <c r="C52" i="2"/>
  <c r="C51" i="2"/>
  <c r="C50" i="2"/>
  <c r="C49" i="2"/>
  <c r="C48" i="2"/>
  <c r="I88" i="2" l="1"/>
  <c r="N18" i="1"/>
  <c r="E88" i="2"/>
  <c r="E125" i="2"/>
  <c r="E143" i="2"/>
  <c r="E144" i="2"/>
  <c r="I151" i="2"/>
  <c r="E66" i="2"/>
  <c r="I93" i="2"/>
  <c r="K144" i="5"/>
  <c r="K143" i="5"/>
  <c r="K142" i="5"/>
  <c r="K141" i="5"/>
  <c r="K140" i="5"/>
  <c r="K139" i="5"/>
  <c r="K138" i="5"/>
  <c r="E79" i="2"/>
  <c r="I79" i="2"/>
  <c r="C128" i="5"/>
  <c r="C146" i="5" s="1"/>
  <c r="C127" i="5"/>
  <c r="C145" i="5" s="1"/>
  <c r="G154" i="2"/>
  <c r="C90" i="1" s="1"/>
  <c r="I91" i="2"/>
  <c r="E91" i="2"/>
  <c r="I89" i="2"/>
  <c r="I74" i="2"/>
  <c r="E74" i="2"/>
  <c r="B64" i="1"/>
  <c r="B119" i="1" s="1"/>
  <c r="B101" i="1" s="1"/>
  <c r="C126" i="5" s="1"/>
  <c r="C144" i="5" s="1"/>
  <c r="B58" i="1"/>
  <c r="B118" i="1" s="1"/>
  <c r="B100" i="1" s="1"/>
  <c r="C125" i="5" s="1"/>
  <c r="C143" i="5" s="1"/>
  <c r="B94" i="1"/>
  <c r="I142" i="2"/>
  <c r="E142" i="2"/>
  <c r="G141" i="2"/>
  <c r="E141" i="2" s="1"/>
  <c r="G139" i="2"/>
  <c r="I139" i="2" s="1"/>
  <c r="G133" i="2"/>
  <c r="I133" i="2" s="1"/>
  <c r="I137" i="2" l="1"/>
  <c r="G138" i="2"/>
  <c r="I131" i="2"/>
  <c r="I165" i="2"/>
  <c r="E165" i="2"/>
  <c r="O18" i="1"/>
  <c r="I144" i="5"/>
  <c r="I143" i="5"/>
  <c r="E131" i="2"/>
  <c r="E89" i="2"/>
  <c r="E137" i="2"/>
  <c r="I141" i="2"/>
  <c r="E139" i="2"/>
  <c r="E133" i="2"/>
  <c r="B51" i="1" l="1"/>
  <c r="B50" i="1"/>
  <c r="G121" i="2"/>
  <c r="G136" i="2"/>
  <c r="G129" i="2"/>
  <c r="I138" i="2"/>
  <c r="I132" i="2"/>
  <c r="E138" i="2"/>
  <c r="E132" i="2"/>
  <c r="B54" i="1"/>
  <c r="B53" i="1"/>
  <c r="B49" i="1"/>
  <c r="B117" i="1" s="1"/>
  <c r="B99" i="1" s="1"/>
  <c r="C124" i="5" s="1"/>
  <c r="G96" i="2"/>
  <c r="B40" i="1"/>
  <c r="B116" i="1" s="1"/>
  <c r="B98" i="1" s="1"/>
  <c r="C123" i="5" s="1"/>
  <c r="B34" i="1"/>
  <c r="B115" i="1" s="1"/>
  <c r="B97" i="1" s="1"/>
  <c r="C122" i="5" s="1"/>
  <c r="B28" i="1"/>
  <c r="B114" i="1" s="1"/>
  <c r="B96" i="1" s="1"/>
  <c r="C121" i="5" s="1"/>
  <c r="B22" i="1"/>
  <c r="B113" i="1" s="1"/>
  <c r="B95" i="1" s="1"/>
  <c r="C120" i="5" s="1"/>
  <c r="I138" i="5" s="1"/>
  <c r="E83" i="2"/>
  <c r="B30" i="1"/>
  <c r="B29" i="1"/>
  <c r="I76" i="2"/>
  <c r="E76" i="2"/>
  <c r="I135" i="2"/>
  <c r="E60" i="2"/>
  <c r="E61" i="2"/>
  <c r="I61" i="2"/>
  <c r="I60" i="2"/>
  <c r="E128" i="2"/>
  <c r="I124" i="2"/>
  <c r="E124" i="2"/>
  <c r="G123" i="2"/>
  <c r="E123" i="2" s="1"/>
  <c r="E85" i="2" l="1"/>
  <c r="E87" i="2"/>
  <c r="I96" i="2"/>
  <c r="E96" i="2"/>
  <c r="I83" i="2"/>
  <c r="I136" i="2"/>
  <c r="E136" i="2"/>
  <c r="E129" i="2"/>
  <c r="I129" i="2"/>
  <c r="I121" i="2"/>
  <c r="E121" i="2"/>
  <c r="C139" i="5"/>
  <c r="I139" i="5"/>
  <c r="C142" i="5"/>
  <c r="I142" i="5"/>
  <c r="C140" i="5"/>
  <c r="I140" i="5"/>
  <c r="C141" i="5"/>
  <c r="I141" i="5"/>
  <c r="E135" i="2"/>
  <c r="I128" i="2"/>
  <c r="I123" i="2"/>
  <c r="I70" i="2"/>
  <c r="E70" i="2"/>
  <c r="I85" i="2" l="1"/>
  <c r="I87" i="2"/>
  <c r="I168" i="2"/>
  <c r="E168" i="2"/>
  <c r="E172" i="2" l="1"/>
  <c r="I172" i="2"/>
  <c r="I154" i="2"/>
  <c r="S90" i="1" s="1"/>
  <c r="S94" i="1" s="1"/>
  <c r="E127" i="5" s="1"/>
  <c r="I164" i="2" l="1"/>
  <c r="E164" i="2"/>
  <c r="I163" i="2"/>
  <c r="E163" i="2"/>
  <c r="I161" i="2"/>
  <c r="E161" i="2"/>
  <c r="E174" i="2" s="1"/>
  <c r="I174" i="2" l="1"/>
  <c r="S112" i="1"/>
  <c r="E116" i="5"/>
  <c r="C19" i="1" l="1"/>
  <c r="C35" i="1" s="1"/>
  <c r="G107" i="2"/>
  <c r="C112" i="1"/>
  <c r="B45" i="1"/>
  <c r="B41" i="1"/>
  <c r="K19" i="1" l="1"/>
  <c r="K66" i="1" s="1"/>
  <c r="S19" i="1"/>
  <c r="E154" i="2"/>
  <c r="K90" i="1" s="1"/>
  <c r="C66" i="1"/>
  <c r="C60" i="1"/>
  <c r="C51" i="1"/>
  <c r="C65" i="1" s="1"/>
  <c r="C50" i="1"/>
  <c r="C54" i="1"/>
  <c r="C36" i="1"/>
  <c r="C30" i="1"/>
  <c r="C94" i="1"/>
  <c r="C45" i="1"/>
  <c r="K35" i="1" l="1"/>
  <c r="K51" i="1"/>
  <c r="K52" i="1" s="1"/>
  <c r="C139" i="1"/>
  <c r="D127" i="5"/>
  <c r="K117" i="5" s="1"/>
  <c r="K60" i="1"/>
  <c r="K36" i="1"/>
  <c r="K50" i="1"/>
  <c r="K54" i="1"/>
  <c r="F116" i="5"/>
  <c r="S36" i="1"/>
  <c r="S66" i="1"/>
  <c r="S51" i="1"/>
  <c r="S54" i="1"/>
  <c r="S60" i="1"/>
  <c r="S50" i="1"/>
  <c r="S35" i="1"/>
  <c r="C52" i="1"/>
  <c r="C53" i="1" s="1"/>
  <c r="C55" i="1" s="1"/>
  <c r="C56" i="1" s="1"/>
  <c r="C59" i="1"/>
  <c r="G64" i="2"/>
  <c r="C24" i="1" s="1"/>
  <c r="I108" i="2"/>
  <c r="E108" i="2"/>
  <c r="I107" i="2"/>
  <c r="E107" i="2"/>
  <c r="K65" i="1" l="1"/>
  <c r="K67" i="1" s="1"/>
  <c r="K68" i="1" s="1"/>
  <c r="K59" i="1"/>
  <c r="K61" i="1" s="1"/>
  <c r="K62" i="1" s="1"/>
  <c r="K37" i="1"/>
  <c r="K38" i="1" s="1"/>
  <c r="K79" i="1" s="1"/>
  <c r="K53" i="1"/>
  <c r="K55" i="1" s="1"/>
  <c r="K56" i="1" s="1"/>
  <c r="S45" i="1"/>
  <c r="K45" i="1"/>
  <c r="K112" i="1"/>
  <c r="K94" i="1"/>
  <c r="F127" i="5" s="1"/>
  <c r="S37" i="1"/>
  <c r="S38" i="1" s="1"/>
  <c r="S115" i="1" s="1"/>
  <c r="S65" i="1"/>
  <c r="S52" i="1"/>
  <c r="S53" i="1" s="1"/>
  <c r="S59" i="1"/>
  <c r="C81" i="1"/>
  <c r="C117" i="1"/>
  <c r="K115" i="1" l="1"/>
  <c r="S55" i="1"/>
  <c r="S56" i="1" s="1"/>
  <c r="S61" i="1"/>
  <c r="S62" i="1" s="1"/>
  <c r="S67" i="1"/>
  <c r="S68" i="1" s="1"/>
  <c r="S79" i="1"/>
  <c r="K81" i="1"/>
  <c r="K117" i="1"/>
  <c r="K82" i="1"/>
  <c r="K128" i="1" s="1"/>
  <c r="K118" i="1"/>
  <c r="K83" i="1"/>
  <c r="K119" i="1"/>
  <c r="D116" i="5"/>
  <c r="S82" i="1" l="1"/>
  <c r="S128" i="1" s="1"/>
  <c r="S118" i="1"/>
  <c r="S81" i="1"/>
  <c r="S117" i="1"/>
  <c r="S83" i="1"/>
  <c r="S119" i="1"/>
  <c r="C138" i="5" l="1"/>
  <c r="D43" i="16" l="1"/>
  <c r="B43" i="16"/>
  <c r="B42" i="16"/>
  <c r="D42" i="16"/>
  <c r="E75" i="2"/>
  <c r="K30" i="1" s="1"/>
  <c r="I75" i="2"/>
  <c r="S30" i="1" s="1"/>
  <c r="D18" i="1"/>
  <c r="G176" i="2"/>
  <c r="C72" i="1" s="1"/>
  <c r="C123" i="1" s="1"/>
  <c r="B41" i="16"/>
  <c r="C41" i="16"/>
  <c r="D41" i="16"/>
  <c r="K29" i="1" l="1"/>
  <c r="K31" i="1" s="1"/>
  <c r="K32" i="1" s="1"/>
  <c r="S29" i="1"/>
  <c r="D19" i="1"/>
  <c r="D60" i="1" s="1"/>
  <c r="C29" i="1"/>
  <c r="C31" i="1" s="1"/>
  <c r="C32" i="1" s="1"/>
  <c r="C78" i="1" s="1"/>
  <c r="I72" i="2"/>
  <c r="E72" i="2"/>
  <c r="C37" i="1"/>
  <c r="C38" i="1" s="1"/>
  <c r="D35" i="1" l="1"/>
  <c r="D36" i="1"/>
  <c r="D54" i="1"/>
  <c r="D72" i="1"/>
  <c r="D50" i="1"/>
  <c r="S31" i="1"/>
  <c r="S32" i="1" s="1"/>
  <c r="D66" i="1"/>
  <c r="D24" i="1"/>
  <c r="D51" i="1"/>
  <c r="D65" i="1" s="1"/>
  <c r="D30" i="1"/>
  <c r="D29" i="1"/>
  <c r="K78" i="1"/>
  <c r="K114" i="1"/>
  <c r="L19" i="1"/>
  <c r="L30" i="1" s="1"/>
  <c r="T19" i="1"/>
  <c r="C114" i="1"/>
  <c r="C79" i="1"/>
  <c r="C115" i="1"/>
  <c r="C67" i="1"/>
  <c r="C68" i="1" s="1"/>
  <c r="G23" i="16"/>
  <c r="H23" i="16"/>
  <c r="D37" i="1" l="1"/>
  <c r="D38" i="1" s="1"/>
  <c r="D79" i="1" s="1"/>
  <c r="D59" i="1"/>
  <c r="D52" i="1"/>
  <c r="D53" i="1" s="1"/>
  <c r="D55" i="1" s="1"/>
  <c r="D56" i="1" s="1"/>
  <c r="D81" i="1" s="1"/>
  <c r="L66" i="1"/>
  <c r="L29" i="1"/>
  <c r="L31" i="1" s="1"/>
  <c r="L32" i="1" s="1"/>
  <c r="D31" i="1"/>
  <c r="D32" i="1" s="1"/>
  <c r="D114" i="1" s="1"/>
  <c r="D67" i="1"/>
  <c r="D68" i="1" s="1"/>
  <c r="D83" i="1" s="1"/>
  <c r="L54" i="1"/>
  <c r="L35" i="1"/>
  <c r="L51" i="1"/>
  <c r="L65" i="1" s="1"/>
  <c r="L50" i="1"/>
  <c r="S78" i="1"/>
  <c r="S114" i="1"/>
  <c r="L45" i="1"/>
  <c r="L36" i="1"/>
  <c r="L60" i="1"/>
  <c r="T30" i="1"/>
  <c r="T35" i="1"/>
  <c r="T50" i="1"/>
  <c r="T60" i="1"/>
  <c r="T36" i="1"/>
  <c r="T66" i="1"/>
  <c r="T54" i="1"/>
  <c r="T45" i="1"/>
  <c r="T29" i="1"/>
  <c r="T51" i="1"/>
  <c r="C83" i="1"/>
  <c r="C119" i="1"/>
  <c r="G102" i="2"/>
  <c r="E176" i="2"/>
  <c r="G98" i="2"/>
  <c r="E65" i="2"/>
  <c r="I65" i="2"/>
  <c r="C86" i="1"/>
  <c r="D117" i="1" l="1"/>
  <c r="D115" i="1"/>
  <c r="L37" i="1"/>
  <c r="L38" i="1" s="1"/>
  <c r="L115" i="1" s="1"/>
  <c r="D78" i="1"/>
  <c r="D119" i="1"/>
  <c r="L59" i="1"/>
  <c r="L61" i="1" s="1"/>
  <c r="L62" i="1" s="1"/>
  <c r="L52" i="1"/>
  <c r="L53" i="1" s="1"/>
  <c r="L55" i="1" s="1"/>
  <c r="L56" i="1" s="1"/>
  <c r="K72" i="1"/>
  <c r="L72" i="1"/>
  <c r="T37" i="1"/>
  <c r="T38" i="1" s="1"/>
  <c r="T65" i="1"/>
  <c r="T52" i="1"/>
  <c r="T53" i="1" s="1"/>
  <c r="T59" i="1"/>
  <c r="T31" i="1"/>
  <c r="T32" i="1" s="1"/>
  <c r="L67" i="1"/>
  <c r="L68" i="1" s="1"/>
  <c r="L78" i="1"/>
  <c r="L114" i="1"/>
  <c r="C43" i="1"/>
  <c r="E62" i="2"/>
  <c r="I62" i="2"/>
  <c r="C23" i="1"/>
  <c r="C25" i="1" s="1"/>
  <c r="C26" i="1" s="1"/>
  <c r="D23" i="1"/>
  <c r="D25" i="1" s="1"/>
  <c r="D26" i="1" s="1"/>
  <c r="E98" i="2"/>
  <c r="C41" i="1"/>
  <c r="D41" i="1"/>
  <c r="I102" i="2"/>
  <c r="D45" i="1"/>
  <c r="D123" i="1"/>
  <c r="E102" i="2"/>
  <c r="D43" i="1"/>
  <c r="I98" i="2"/>
  <c r="I176" i="2"/>
  <c r="E18" i="1"/>
  <c r="E64" i="2"/>
  <c r="I64" i="2"/>
  <c r="L79" i="1" l="1"/>
  <c r="S72" i="1"/>
  <c r="T72" i="1"/>
  <c r="L123" i="1"/>
  <c r="L86" i="1"/>
  <c r="K24" i="1"/>
  <c r="L24" i="1"/>
  <c r="S43" i="1"/>
  <c r="T43" i="1"/>
  <c r="K43" i="1"/>
  <c r="L43" i="1"/>
  <c r="W23" i="1"/>
  <c r="U23" i="1"/>
  <c r="S23" i="1"/>
  <c r="T23" i="1"/>
  <c r="V23" i="1"/>
  <c r="S24" i="1"/>
  <c r="T24" i="1"/>
  <c r="S41" i="1"/>
  <c r="S42" i="1" s="1"/>
  <c r="T41" i="1"/>
  <c r="T42" i="1" s="1"/>
  <c r="K41" i="1"/>
  <c r="K42" i="1" s="1"/>
  <c r="L41" i="1"/>
  <c r="L42" i="1" s="1"/>
  <c r="K23" i="1"/>
  <c r="L23" i="1"/>
  <c r="K123" i="1"/>
  <c r="K86" i="1"/>
  <c r="T55" i="1"/>
  <c r="T56" i="1" s="1"/>
  <c r="T61" i="1"/>
  <c r="T62" i="1" s="1"/>
  <c r="T78" i="1"/>
  <c r="T114" i="1"/>
  <c r="T67" i="1"/>
  <c r="T68" i="1" s="1"/>
  <c r="T115" i="1"/>
  <c r="T79" i="1"/>
  <c r="L119" i="1"/>
  <c r="L83" i="1"/>
  <c r="L82" i="1"/>
  <c r="L128" i="1" s="1"/>
  <c r="L118" i="1"/>
  <c r="L117" i="1"/>
  <c r="L81" i="1"/>
  <c r="E19" i="1"/>
  <c r="E66" i="1" s="1"/>
  <c r="C113" i="1"/>
  <c r="C77" i="1"/>
  <c r="D113" i="1"/>
  <c r="D77" i="1"/>
  <c r="D42" i="1"/>
  <c r="D44" i="1" s="1"/>
  <c r="D46" i="1" s="1"/>
  <c r="D47" i="1" s="1"/>
  <c r="C42" i="1"/>
  <c r="C44" i="1" s="1"/>
  <c r="C46" i="1" s="1"/>
  <c r="C47" i="1" s="1"/>
  <c r="D86" i="1"/>
  <c r="F18" i="1"/>
  <c r="K25" i="1" l="1"/>
  <c r="K26" i="1" s="1"/>
  <c r="K77" i="1" s="1"/>
  <c r="E43" i="1"/>
  <c r="E60" i="1"/>
  <c r="K44" i="1"/>
  <c r="K46" i="1" s="1"/>
  <c r="K47" i="1" s="1"/>
  <c r="K116" i="1" s="1"/>
  <c r="L25" i="1"/>
  <c r="L26" i="1" s="1"/>
  <c r="L113" i="1" s="1"/>
  <c r="E72" i="1"/>
  <c r="E86" i="1" s="1"/>
  <c r="E29" i="1"/>
  <c r="E30" i="1"/>
  <c r="E50" i="1"/>
  <c r="L44" i="1"/>
  <c r="L46" i="1" s="1"/>
  <c r="L47" i="1" s="1"/>
  <c r="L80" i="1" s="1"/>
  <c r="E45" i="1"/>
  <c r="E24" i="1"/>
  <c r="E54" i="1"/>
  <c r="E35" i="1"/>
  <c r="E36" i="1"/>
  <c r="E41" i="1"/>
  <c r="E42" i="1" s="1"/>
  <c r="E51" i="1"/>
  <c r="E65" i="1" s="1"/>
  <c r="E67" i="1" s="1"/>
  <c r="E68" i="1" s="1"/>
  <c r="T44" i="1"/>
  <c r="T46" i="1" s="1"/>
  <c r="T47" i="1" s="1"/>
  <c r="E23" i="1"/>
  <c r="S44" i="1"/>
  <c r="S46" i="1" s="1"/>
  <c r="S47" i="1" s="1"/>
  <c r="T86" i="1"/>
  <c r="T123" i="1"/>
  <c r="T25" i="1"/>
  <c r="T26" i="1" s="1"/>
  <c r="S25" i="1"/>
  <c r="S26" i="1" s="1"/>
  <c r="S123" i="1"/>
  <c r="S86" i="1"/>
  <c r="T119" i="1"/>
  <c r="T83" i="1"/>
  <c r="T117" i="1"/>
  <c r="T81" i="1"/>
  <c r="T82" i="1"/>
  <c r="T128" i="1" s="1"/>
  <c r="T118" i="1"/>
  <c r="M19" i="1"/>
  <c r="M23" i="1" s="1"/>
  <c r="U19" i="1"/>
  <c r="F19" i="1"/>
  <c r="F23" i="1" s="1"/>
  <c r="C80" i="1"/>
  <c r="C116" i="1"/>
  <c r="D80" i="1"/>
  <c r="D116" i="1"/>
  <c r="G18" i="1"/>
  <c r="K113" i="1" l="1"/>
  <c r="K125" i="1" s="1"/>
  <c r="K80" i="1"/>
  <c r="K84" i="1" s="1"/>
  <c r="K87" i="1" s="1"/>
  <c r="K111" i="1" s="1"/>
  <c r="E31" i="1"/>
  <c r="E32" i="1" s="1"/>
  <c r="E114" i="1" s="1"/>
  <c r="M30" i="1"/>
  <c r="L77" i="1"/>
  <c r="L84" i="1" s="1"/>
  <c r="L87" i="1" s="1"/>
  <c r="L111" i="1" s="1"/>
  <c r="M29" i="1"/>
  <c r="F45" i="1"/>
  <c r="M36" i="1"/>
  <c r="F36" i="1"/>
  <c r="E37" i="1"/>
  <c r="E38" i="1" s="1"/>
  <c r="E79" i="1" s="1"/>
  <c r="L116" i="1"/>
  <c r="L125" i="1" s="1"/>
  <c r="F24" i="1"/>
  <c r="F25" i="1" s="1"/>
  <c r="F26" i="1" s="1"/>
  <c r="F41" i="1"/>
  <c r="F42" i="1" s="1"/>
  <c r="F30" i="1"/>
  <c r="F60" i="1"/>
  <c r="F66" i="1"/>
  <c r="M35" i="1"/>
  <c r="E123" i="1"/>
  <c r="E25" i="1"/>
  <c r="E26" i="1" s="1"/>
  <c r="E113" i="1" s="1"/>
  <c r="E59" i="1"/>
  <c r="F29" i="1"/>
  <c r="E52" i="1"/>
  <c r="E53" i="1" s="1"/>
  <c r="E55" i="1" s="1"/>
  <c r="E56" i="1" s="1"/>
  <c r="E81" i="1" s="1"/>
  <c r="F54" i="1"/>
  <c r="F50" i="1"/>
  <c r="M72" i="1"/>
  <c r="M86" i="1" s="1"/>
  <c r="M24" i="1"/>
  <c r="M25" i="1" s="1"/>
  <c r="M26" i="1" s="1"/>
  <c r="F51" i="1"/>
  <c r="F65" i="1" s="1"/>
  <c r="M51" i="1"/>
  <c r="M52" i="1" s="1"/>
  <c r="M60" i="1"/>
  <c r="M45" i="1"/>
  <c r="S113" i="1"/>
  <c r="S77" i="1"/>
  <c r="T113" i="1"/>
  <c r="T77" i="1"/>
  <c r="M66" i="1"/>
  <c r="M43" i="1"/>
  <c r="M54" i="1"/>
  <c r="S116" i="1"/>
  <c r="S80" i="1"/>
  <c r="T116" i="1"/>
  <c r="T80" i="1"/>
  <c r="U45" i="1"/>
  <c r="U54" i="1"/>
  <c r="U24" i="1"/>
  <c r="U25" i="1" s="1"/>
  <c r="U26" i="1" s="1"/>
  <c r="U30" i="1"/>
  <c r="U35" i="1"/>
  <c r="U43" i="1"/>
  <c r="U50" i="1"/>
  <c r="U60" i="1"/>
  <c r="U72" i="1"/>
  <c r="U29" i="1"/>
  <c r="U51" i="1"/>
  <c r="U66" i="1"/>
  <c r="U36" i="1"/>
  <c r="U41" i="1"/>
  <c r="U42" i="1" s="1"/>
  <c r="N19" i="1"/>
  <c r="N23" i="1" s="1"/>
  <c r="V19" i="1"/>
  <c r="F43" i="1"/>
  <c r="F72" i="1"/>
  <c r="F86" i="1" s="1"/>
  <c r="F35" i="1"/>
  <c r="M41" i="1"/>
  <c r="M42" i="1" s="1"/>
  <c r="M50" i="1"/>
  <c r="G19" i="1"/>
  <c r="G51" i="1" s="1"/>
  <c r="G65" i="1" s="1"/>
  <c r="E83" i="1"/>
  <c r="E119" i="1"/>
  <c r="E44" i="1"/>
  <c r="E46" i="1" s="1"/>
  <c r="E47" i="1" s="1"/>
  <c r="U44" i="1" l="1"/>
  <c r="U46" i="1" s="1"/>
  <c r="U47" i="1" s="1"/>
  <c r="K121" i="1"/>
  <c r="E78" i="1"/>
  <c r="E77" i="1"/>
  <c r="S125" i="1"/>
  <c r="F31" i="1"/>
  <c r="F32" i="1" s="1"/>
  <c r="F114" i="1" s="1"/>
  <c r="M31" i="1"/>
  <c r="M32" i="1" s="1"/>
  <c r="M78" i="1" s="1"/>
  <c r="E115" i="1"/>
  <c r="F37" i="1"/>
  <c r="F38" i="1" s="1"/>
  <c r="F79" i="1" s="1"/>
  <c r="N51" i="1"/>
  <c r="N59" i="1" s="1"/>
  <c r="L121" i="1"/>
  <c r="F67" i="1"/>
  <c r="F68" i="1" s="1"/>
  <c r="F83" i="1" s="1"/>
  <c r="M37" i="1"/>
  <c r="M38" i="1" s="1"/>
  <c r="M79" i="1" s="1"/>
  <c r="N24" i="1"/>
  <c r="N25" i="1" s="1"/>
  <c r="N26" i="1" s="1"/>
  <c r="N66" i="1"/>
  <c r="N41" i="1"/>
  <c r="N42" i="1" s="1"/>
  <c r="F52" i="1"/>
  <c r="F53" i="1" s="1"/>
  <c r="F55" i="1" s="1"/>
  <c r="F56" i="1" s="1"/>
  <c r="F81" i="1" s="1"/>
  <c r="N30" i="1"/>
  <c r="N50" i="1"/>
  <c r="N60" i="1"/>
  <c r="F44" i="1"/>
  <c r="F46" i="1" s="1"/>
  <c r="F47" i="1" s="1"/>
  <c r="F116" i="1" s="1"/>
  <c r="N43" i="1"/>
  <c r="N45" i="1"/>
  <c r="M44" i="1"/>
  <c r="M46" i="1" s="1"/>
  <c r="M47" i="1" s="1"/>
  <c r="M80" i="1" s="1"/>
  <c r="T125" i="1"/>
  <c r="T84" i="1"/>
  <c r="T87" i="1" s="1"/>
  <c r="T111" i="1" s="1"/>
  <c r="E117" i="1"/>
  <c r="M65" i="1"/>
  <c r="M67" i="1" s="1"/>
  <c r="M68" i="1" s="1"/>
  <c r="F59" i="1"/>
  <c r="M59" i="1"/>
  <c r="M61" i="1" s="1"/>
  <c r="M62" i="1" s="1"/>
  <c r="N35" i="1"/>
  <c r="N54" i="1"/>
  <c r="N29" i="1"/>
  <c r="M53" i="1"/>
  <c r="M55" i="1" s="1"/>
  <c r="M56" i="1" s="1"/>
  <c r="G41" i="1"/>
  <c r="G42" i="1" s="1"/>
  <c r="G60" i="1"/>
  <c r="M123" i="1"/>
  <c r="G36" i="1"/>
  <c r="N72" i="1"/>
  <c r="N123" i="1" s="1"/>
  <c r="N36" i="1"/>
  <c r="T121" i="1"/>
  <c r="G72" i="1"/>
  <c r="G123" i="1" s="1"/>
  <c r="G30" i="1"/>
  <c r="G54" i="1"/>
  <c r="G50" i="1"/>
  <c r="G66" i="1"/>
  <c r="G67" i="1" s="1"/>
  <c r="G68" i="1" s="1"/>
  <c r="S84" i="1"/>
  <c r="S87" i="1" s="1"/>
  <c r="S111" i="1" s="1"/>
  <c r="G43" i="1"/>
  <c r="G24" i="1"/>
  <c r="G35" i="1"/>
  <c r="S121" i="1"/>
  <c r="G45" i="1"/>
  <c r="G29" i="1"/>
  <c r="F123" i="1"/>
  <c r="O19" i="1"/>
  <c r="O24" i="1" s="1"/>
  <c r="W19" i="1"/>
  <c r="U52" i="1"/>
  <c r="U53" i="1" s="1"/>
  <c r="U59" i="1"/>
  <c r="U65" i="1"/>
  <c r="U113" i="1"/>
  <c r="U77" i="1"/>
  <c r="V29" i="1"/>
  <c r="V41" i="1"/>
  <c r="V42" i="1" s="1"/>
  <c r="V51" i="1"/>
  <c r="V45" i="1"/>
  <c r="V54" i="1"/>
  <c r="V24" i="1"/>
  <c r="V25" i="1" s="1"/>
  <c r="V26" i="1" s="1"/>
  <c r="V43" i="1"/>
  <c r="V50" i="1"/>
  <c r="V66" i="1"/>
  <c r="V36" i="1"/>
  <c r="V30" i="1"/>
  <c r="V35" i="1"/>
  <c r="V60" i="1"/>
  <c r="V72" i="1"/>
  <c r="U31" i="1"/>
  <c r="U32" i="1" s="1"/>
  <c r="G23" i="1"/>
  <c r="U86" i="1"/>
  <c r="U123" i="1"/>
  <c r="U37" i="1"/>
  <c r="U38" i="1" s="1"/>
  <c r="M113" i="1"/>
  <c r="M77" i="1"/>
  <c r="F113" i="1"/>
  <c r="F77" i="1"/>
  <c r="E80" i="1"/>
  <c r="E116" i="1"/>
  <c r="G52" i="1"/>
  <c r="G59" i="1"/>
  <c r="N52" i="1" l="1"/>
  <c r="N53" i="1" s="1"/>
  <c r="N55" i="1" s="1"/>
  <c r="N56" i="1" s="1"/>
  <c r="F78" i="1"/>
  <c r="G37" i="1"/>
  <c r="G38" i="1" s="1"/>
  <c r="G115" i="1" s="1"/>
  <c r="C105" i="1"/>
  <c r="D128" i="5" s="1"/>
  <c r="L117" i="5" s="1"/>
  <c r="M114" i="1"/>
  <c r="F115" i="1"/>
  <c r="N44" i="1"/>
  <c r="N46" i="1" s="1"/>
  <c r="N47" i="1" s="1"/>
  <c r="F119" i="1"/>
  <c r="M116" i="1"/>
  <c r="N86" i="1"/>
  <c r="N65" i="1"/>
  <c r="N67" i="1" s="1"/>
  <c r="N68" i="1" s="1"/>
  <c r="N37" i="1"/>
  <c r="N38" i="1" s="1"/>
  <c r="N79" i="1" s="1"/>
  <c r="G86" i="1"/>
  <c r="M115" i="1"/>
  <c r="N31" i="1"/>
  <c r="N32" i="1" s="1"/>
  <c r="N78" i="1" s="1"/>
  <c r="F117" i="1"/>
  <c r="F80" i="1"/>
  <c r="O72" i="1"/>
  <c r="O86" i="1" s="1"/>
  <c r="G53" i="1"/>
  <c r="G55" i="1" s="1"/>
  <c r="G56" i="1" s="1"/>
  <c r="G81" i="1" s="1"/>
  <c r="O43" i="1"/>
  <c r="O66" i="1"/>
  <c r="O60" i="1"/>
  <c r="O50" i="1"/>
  <c r="G31" i="1"/>
  <c r="G32" i="1" s="1"/>
  <c r="G114" i="1" s="1"/>
  <c r="C96" i="1" s="1"/>
  <c r="D121" i="5" s="1"/>
  <c r="J139" i="5" s="1"/>
  <c r="O45" i="1"/>
  <c r="O29" i="1"/>
  <c r="G25" i="1"/>
  <c r="G26" i="1" s="1"/>
  <c r="G113" i="1" s="1"/>
  <c r="C95" i="1" s="1"/>
  <c r="O35" i="1"/>
  <c r="O54" i="1"/>
  <c r="O51" i="1"/>
  <c r="O65" i="1" s="1"/>
  <c r="O36" i="1"/>
  <c r="O30" i="1"/>
  <c r="O23" i="1"/>
  <c r="O25" i="1" s="1"/>
  <c r="O26" i="1" s="1"/>
  <c r="O41" i="1"/>
  <c r="O42" i="1" s="1"/>
  <c r="U80" i="1"/>
  <c r="U116" i="1"/>
  <c r="U79" i="1"/>
  <c r="U115" i="1"/>
  <c r="V52" i="1"/>
  <c r="V53" i="1" s="1"/>
  <c r="V59" i="1"/>
  <c r="V65" i="1"/>
  <c r="U61" i="1"/>
  <c r="U62" i="1" s="1"/>
  <c r="V123" i="1"/>
  <c r="V86" i="1"/>
  <c r="V77" i="1"/>
  <c r="V113" i="1"/>
  <c r="V44" i="1"/>
  <c r="U78" i="1"/>
  <c r="U114" i="1"/>
  <c r="V31" i="1"/>
  <c r="V32" i="1" s="1"/>
  <c r="U55" i="1"/>
  <c r="U56" i="1" s="1"/>
  <c r="W24" i="1"/>
  <c r="W25" i="1" s="1"/>
  <c r="W26" i="1" s="1"/>
  <c r="W36" i="1"/>
  <c r="W66" i="1"/>
  <c r="W29" i="1"/>
  <c r="W41" i="1"/>
  <c r="W42" i="1" s="1"/>
  <c r="W51" i="1"/>
  <c r="W30" i="1"/>
  <c r="W35" i="1"/>
  <c r="W72" i="1"/>
  <c r="W54" i="1"/>
  <c r="W43" i="1"/>
  <c r="W50" i="1"/>
  <c r="W60" i="1"/>
  <c r="W45" i="1"/>
  <c r="V37" i="1"/>
  <c r="V38" i="1" s="1"/>
  <c r="U67" i="1"/>
  <c r="U68" i="1" s="1"/>
  <c r="M117" i="1"/>
  <c r="M81" i="1"/>
  <c r="M83" i="1"/>
  <c r="M119" i="1"/>
  <c r="N61" i="1"/>
  <c r="N62" i="1" s="1"/>
  <c r="N77" i="1"/>
  <c r="N113" i="1"/>
  <c r="M82" i="1"/>
  <c r="M128" i="1" s="1"/>
  <c r="M118" i="1"/>
  <c r="G83" i="1"/>
  <c r="G119" i="1"/>
  <c r="G44" i="1"/>
  <c r="G79" i="1" l="1"/>
  <c r="C30" i="5"/>
  <c r="N114" i="1"/>
  <c r="G117" i="1"/>
  <c r="C99" i="1" s="1"/>
  <c r="D124" i="5" s="1"/>
  <c r="J142" i="5" s="1"/>
  <c r="C101" i="1"/>
  <c r="D126" i="5" s="1"/>
  <c r="J144" i="5" s="1"/>
  <c r="C97" i="1"/>
  <c r="D122" i="5" s="1"/>
  <c r="J140" i="5" s="1"/>
  <c r="G78" i="1"/>
  <c r="N115" i="1"/>
  <c r="O123" i="1"/>
  <c r="K105" i="1" s="1"/>
  <c r="F128" i="5" s="1"/>
  <c r="O44" i="1"/>
  <c r="O46" i="1" s="1"/>
  <c r="O47" i="1" s="1"/>
  <c r="O31" i="1"/>
  <c r="O32" i="1" s="1"/>
  <c r="O78" i="1" s="1"/>
  <c r="C135" i="1"/>
  <c r="O59" i="1"/>
  <c r="O61" i="1" s="1"/>
  <c r="O62" i="1" s="1"/>
  <c r="G77" i="1"/>
  <c r="O37" i="1"/>
  <c r="O38" i="1" s="1"/>
  <c r="O79" i="1" s="1"/>
  <c r="O52" i="1"/>
  <c r="O53" i="1" s="1"/>
  <c r="O55" i="1" s="1"/>
  <c r="O56" i="1" s="1"/>
  <c r="M125" i="1"/>
  <c r="U117" i="1"/>
  <c r="U81" i="1"/>
  <c r="V79" i="1"/>
  <c r="V115" i="1"/>
  <c r="V78" i="1"/>
  <c r="V114" i="1"/>
  <c r="U83" i="1"/>
  <c r="U119" i="1"/>
  <c r="W59" i="1"/>
  <c r="W65" i="1"/>
  <c r="W52" i="1"/>
  <c r="W53" i="1" s="1"/>
  <c r="V55" i="1"/>
  <c r="V56" i="1" s="1"/>
  <c r="W86" i="1"/>
  <c r="W123" i="1"/>
  <c r="S105" i="1" s="1"/>
  <c r="E128" i="5" s="1"/>
  <c r="W44" i="1"/>
  <c r="W77" i="1"/>
  <c r="W113" i="1"/>
  <c r="V46" i="1"/>
  <c r="V47" i="1" s="1"/>
  <c r="V67" i="1"/>
  <c r="V68" i="1" s="1"/>
  <c r="M121" i="1"/>
  <c r="W37" i="1"/>
  <c r="W38" i="1" s="1"/>
  <c r="W31" i="1"/>
  <c r="W32" i="1" s="1"/>
  <c r="V61" i="1"/>
  <c r="V62" i="1" s="1"/>
  <c r="U118" i="1"/>
  <c r="U82" i="1"/>
  <c r="U128" i="1" s="1"/>
  <c r="N83" i="1"/>
  <c r="N119" i="1"/>
  <c r="O77" i="1"/>
  <c r="O113" i="1"/>
  <c r="M84" i="1"/>
  <c r="M87" i="1" s="1"/>
  <c r="M111" i="1" s="1"/>
  <c r="N116" i="1"/>
  <c r="N80" i="1"/>
  <c r="O67" i="1"/>
  <c r="O68" i="1" s="1"/>
  <c r="N82" i="1"/>
  <c r="N128" i="1" s="1"/>
  <c r="N118" i="1"/>
  <c r="N81" i="1"/>
  <c r="N117" i="1"/>
  <c r="D120" i="5"/>
  <c r="G46" i="1"/>
  <c r="G47" i="1" s="1"/>
  <c r="G116" i="1" s="1"/>
  <c r="C98" i="1" s="1"/>
  <c r="D123" i="5" s="1"/>
  <c r="J141" i="5" s="1"/>
  <c r="O115" i="1" l="1"/>
  <c r="K97" i="1" s="1"/>
  <c r="F122" i="5" s="1"/>
  <c r="O114" i="1"/>
  <c r="K96" i="1" s="1"/>
  <c r="F121" i="5" s="1"/>
  <c r="U84" i="1"/>
  <c r="U87" i="1" s="1"/>
  <c r="U111" i="1" s="1"/>
  <c r="V81" i="1"/>
  <c r="V117" i="1"/>
  <c r="V116" i="1"/>
  <c r="V80" i="1"/>
  <c r="W61" i="1"/>
  <c r="W62" i="1" s="1"/>
  <c r="V82" i="1"/>
  <c r="V128" i="1" s="1"/>
  <c r="V118" i="1"/>
  <c r="W55" i="1"/>
  <c r="W56" i="1" s="1"/>
  <c r="W46" i="1"/>
  <c r="W47" i="1" s="1"/>
  <c r="W79" i="1"/>
  <c r="W115" i="1"/>
  <c r="S97" i="1" s="1"/>
  <c r="E122" i="5" s="1"/>
  <c r="V83" i="1"/>
  <c r="V119" i="1"/>
  <c r="S95" i="1"/>
  <c r="E120" i="5" s="1"/>
  <c r="U121" i="1"/>
  <c r="U125" i="1"/>
  <c r="W78" i="1"/>
  <c r="W114" i="1"/>
  <c r="S96" i="1" s="1"/>
  <c r="E121" i="5" s="1"/>
  <c r="N84" i="1"/>
  <c r="N87" i="1" s="1"/>
  <c r="N111" i="1" s="1"/>
  <c r="W67" i="1"/>
  <c r="W68" i="1" s="1"/>
  <c r="O81" i="1"/>
  <c r="O117" i="1"/>
  <c r="K99" i="1" s="1"/>
  <c r="O116" i="1"/>
  <c r="O80" i="1"/>
  <c r="K95" i="1"/>
  <c r="N125" i="1"/>
  <c r="O82" i="1"/>
  <c r="O128" i="1" s="1"/>
  <c r="O118" i="1"/>
  <c r="K100" i="1" s="1"/>
  <c r="F125" i="5" s="1"/>
  <c r="O83" i="1"/>
  <c r="O119" i="1"/>
  <c r="K101" i="1" s="1"/>
  <c r="F126" i="5" s="1"/>
  <c r="N121" i="1"/>
  <c r="J138" i="5"/>
  <c r="G80" i="1"/>
  <c r="V125" i="1" l="1"/>
  <c r="V84" i="1"/>
  <c r="V87" i="1" s="1"/>
  <c r="V111" i="1" s="1"/>
  <c r="W81" i="1"/>
  <c r="W117" i="1"/>
  <c r="S99" i="1" s="1"/>
  <c r="E124" i="5" s="1"/>
  <c r="W82" i="1"/>
  <c r="W128" i="1" s="1"/>
  <c r="W118" i="1"/>
  <c r="S100" i="1" s="1"/>
  <c r="E125" i="5" s="1"/>
  <c r="W116" i="1"/>
  <c r="S98" i="1" s="1"/>
  <c r="E123" i="5" s="1"/>
  <c r="W80" i="1"/>
  <c r="V121" i="1"/>
  <c r="W83" i="1"/>
  <c r="W119" i="1"/>
  <c r="S101" i="1" s="1"/>
  <c r="E126" i="5" s="1"/>
  <c r="O84" i="1"/>
  <c r="O87" i="1" s="1"/>
  <c r="O111" i="1" s="1"/>
  <c r="K91" i="1" s="1"/>
  <c r="F117" i="5" s="1"/>
  <c r="F120" i="5"/>
  <c r="K98" i="1"/>
  <c r="F123" i="5" s="1"/>
  <c r="O125" i="1"/>
  <c r="O121" i="1"/>
  <c r="K92" i="1" s="1"/>
  <c r="F124" i="5"/>
  <c r="E61" i="1"/>
  <c r="G61" i="1"/>
  <c r="F61" i="1"/>
  <c r="F62" i="1" s="1"/>
  <c r="C61" i="1"/>
  <c r="C62" i="1" s="1"/>
  <c r="W84" i="1" l="1"/>
  <c r="W87" i="1" s="1"/>
  <c r="W111" i="1" s="1"/>
  <c r="S91" i="1" s="1"/>
  <c r="E117" i="5" s="1"/>
  <c r="E135" i="5" s="1"/>
  <c r="S106" i="1"/>
  <c r="E129" i="5"/>
  <c r="W121" i="1"/>
  <c r="S92" i="1" s="1"/>
  <c r="F129" i="5"/>
  <c r="W125" i="1"/>
  <c r="K106" i="1"/>
  <c r="K107" i="1" s="1"/>
  <c r="C82" i="1"/>
  <c r="C84" i="1" s="1"/>
  <c r="C118" i="1"/>
  <c r="C125" i="1" s="1"/>
  <c r="F82" i="1"/>
  <c r="F118" i="1"/>
  <c r="G62" i="1"/>
  <c r="D61" i="1"/>
  <c r="D62" i="1" s="1"/>
  <c r="E62" i="1"/>
  <c r="S107" i="1" l="1"/>
  <c r="C121" i="1"/>
  <c r="D139" i="1" s="1"/>
  <c r="F84" i="1"/>
  <c r="F87" i="1" s="1"/>
  <c r="F111" i="1" s="1"/>
  <c r="D82" i="1"/>
  <c r="D84" i="1" s="1"/>
  <c r="D118" i="1"/>
  <c r="D125" i="1" s="1"/>
  <c r="G82" i="1"/>
  <c r="G118" i="1"/>
  <c r="E82" i="1"/>
  <c r="E84" i="1" s="1"/>
  <c r="E87" i="1" s="1"/>
  <c r="E111" i="1" s="1"/>
  <c r="E118" i="1"/>
  <c r="F125" i="1"/>
  <c r="F121" i="1"/>
  <c r="G139" i="1" s="1"/>
  <c r="C100" i="1" l="1"/>
  <c r="C106" i="1" s="1"/>
  <c r="G84" i="1"/>
  <c r="G87" i="1" s="1"/>
  <c r="G111" i="1" s="1"/>
  <c r="E125" i="1"/>
  <c r="E121" i="1"/>
  <c r="F139" i="1" s="1"/>
  <c r="G121" i="1"/>
  <c r="H139" i="1" s="1"/>
  <c r="G125" i="1"/>
  <c r="D135" i="5"/>
  <c r="D87" i="1"/>
  <c r="D111" i="1" s="1"/>
  <c r="D121" i="1"/>
  <c r="E139" i="1" s="1"/>
  <c r="D125" i="5" l="1"/>
  <c r="M117" i="5" s="1"/>
  <c r="C141" i="1"/>
  <c r="C34" i="5" s="1"/>
  <c r="J143" i="5" l="1"/>
  <c r="C29" i="5"/>
  <c r="D129" i="5"/>
  <c r="C87" i="1"/>
  <c r="C111" i="1" s="1"/>
  <c r="C91" i="1" s="1"/>
  <c r="C92" i="1"/>
  <c r="C33" i="5" s="1"/>
  <c r="H143" i="5" l="1"/>
  <c r="H142" i="5"/>
  <c r="H138" i="5"/>
  <c r="H144" i="5"/>
  <c r="H139" i="5"/>
  <c r="H141" i="5"/>
  <c r="H140" i="5"/>
  <c r="B22" i="2"/>
  <c r="G26" i="2" s="1"/>
  <c r="D117" i="5"/>
  <c r="J117" i="5" s="1"/>
  <c r="C134" i="1"/>
  <c r="I153" i="5" l="1"/>
  <c r="J153" i="5"/>
  <c r="K153" i="5"/>
  <c r="K149" i="5"/>
  <c r="I149" i="5"/>
  <c r="I152" i="5"/>
  <c r="J152" i="5"/>
  <c r="K152" i="5"/>
  <c r="J149" i="5"/>
  <c r="I150" i="5"/>
  <c r="K151" i="5"/>
  <c r="K150" i="5"/>
  <c r="J148" i="5"/>
  <c r="I151" i="5"/>
  <c r="K148" i="5"/>
  <c r="J147" i="5"/>
  <c r="J150" i="5"/>
  <c r="I147" i="5"/>
  <c r="I148" i="5"/>
  <c r="J151" i="5"/>
  <c r="K147" i="5"/>
  <c r="F135" i="5"/>
  <c r="C31" i="5"/>
  <c r="C107" i="1"/>
  <c r="B23" i="5" l="1"/>
  <c r="D145" i="5"/>
  <c r="E140" i="5"/>
  <c r="D138" i="5"/>
  <c r="D146" i="5"/>
  <c r="E146" i="5"/>
  <c r="E145" i="5"/>
  <c r="D144" i="5"/>
  <c r="B25" i="5"/>
  <c r="B24" i="5"/>
  <c r="B26" i="5"/>
  <c r="B27" i="5"/>
  <c r="E141" i="5"/>
  <c r="E138" i="5"/>
  <c r="D143" i="5"/>
  <c r="E143" i="5"/>
  <c r="E144" i="5"/>
  <c r="E142" i="5"/>
  <c r="D142" i="5"/>
  <c r="D141" i="5"/>
  <c r="D139" i="5"/>
  <c r="D140" i="5"/>
  <c r="E139" i="5"/>
  <c r="F138" i="5" l="1"/>
  <c r="F145" i="5"/>
  <c r="F146" i="5"/>
  <c r="F141" i="5"/>
  <c r="F143" i="5"/>
  <c r="F144" i="5"/>
  <c r="F142" i="5"/>
  <c r="F140" i="5"/>
  <c r="F139" i="5"/>
  <c r="B140" i="5" l="1"/>
  <c r="B146" i="5"/>
  <c r="B141" i="5"/>
  <c r="B142" i="5"/>
  <c r="B138" i="5"/>
  <c r="B144" i="5"/>
  <c r="B139" i="5"/>
  <c r="B143" i="5"/>
  <c r="B145" i="5"/>
  <c r="D155" i="5" l="1"/>
  <c r="F157" i="5"/>
  <c r="D157" i="5"/>
  <c r="F155" i="5"/>
  <c r="F154" i="5"/>
  <c r="F156" i="5"/>
  <c r="F158" i="5"/>
  <c r="F153" i="5"/>
  <c r="F152" i="5"/>
  <c r="F151" i="5"/>
  <c r="F150" i="5"/>
  <c r="E154" i="5"/>
  <c r="E158" i="5"/>
  <c r="D153" i="5"/>
  <c r="C152" i="5"/>
  <c r="C156" i="5"/>
  <c r="E151" i="5"/>
  <c r="E155" i="5"/>
  <c r="E150" i="5"/>
  <c r="D154" i="5"/>
  <c r="D158" i="5"/>
  <c r="C153" i="5"/>
  <c r="C157" i="5"/>
  <c r="E152" i="5"/>
  <c r="E156" i="5"/>
  <c r="D151" i="5"/>
  <c r="D150" i="5"/>
  <c r="C154" i="5"/>
  <c r="C158" i="5"/>
  <c r="E153" i="5"/>
  <c r="E157" i="5"/>
  <c r="D152" i="5"/>
  <c r="D156" i="5"/>
  <c r="C151" i="5"/>
  <c r="C155" i="5"/>
  <c r="C150" i="5"/>
</calcChain>
</file>

<file path=xl/sharedStrings.xml><?xml version="1.0" encoding="utf-8"?>
<sst xmlns="http://schemas.openxmlformats.org/spreadsheetml/2006/main" count="532" uniqueCount="392">
  <si>
    <t>Fiscal Year</t>
  </si>
  <si>
    <t>Number of Employees Handling Patients</t>
  </si>
  <si>
    <t>Retention Costs Savings</t>
  </si>
  <si>
    <t>On-going Costs</t>
  </si>
  <si>
    <t>Maintenance Cost</t>
  </si>
  <si>
    <t>Cash Flow</t>
  </si>
  <si>
    <t>Total Cash Inflow</t>
  </si>
  <si>
    <t>Cash Outflow</t>
  </si>
  <si>
    <t>Net Cash Flow (when in operation)</t>
  </si>
  <si>
    <t>Net Present Value</t>
  </si>
  <si>
    <t>NPV</t>
  </si>
  <si>
    <t>Initial Investment</t>
  </si>
  <si>
    <t>Discounted Net Cash Flow</t>
  </si>
  <si>
    <t>Discount Rate</t>
  </si>
  <si>
    <t>Number of hours in a work day</t>
  </si>
  <si>
    <t>Low</t>
  </si>
  <si>
    <t>High</t>
  </si>
  <si>
    <t>Change Year</t>
  </si>
  <si>
    <t>Change Period</t>
  </si>
  <si>
    <t xml:space="preserve">Initial Average Cost of a Serious Injury </t>
  </si>
  <si>
    <t xml:space="preserve">Initial Average Cost of a Minor Injury </t>
  </si>
  <si>
    <t>HR Issues</t>
  </si>
  <si>
    <t>Program Implementation Costs</t>
  </si>
  <si>
    <t>Training Costs (HR wages)</t>
  </si>
  <si>
    <t>Employee Injury Reduction Rate</t>
  </si>
  <si>
    <t>Total Retention Cost (w/ Program)</t>
  </si>
  <si>
    <t>Annual Maintenance Cost</t>
  </si>
  <si>
    <t>Maintenance Cost Growth Rate</t>
  </si>
  <si>
    <t>Maintenance Cost Reference Year</t>
  </si>
  <si>
    <t>Total Benefits</t>
  </si>
  <si>
    <t>Change from Expected value</t>
  </si>
  <si>
    <t xml:space="preserve">By using this tool, the user acknowledges and agrees:
This tool is for demonstration and educational purposes only; it only addresses certain risk factors and there are many additional or external factors not addressed or taken into account. There is no guarantee that this tool, and decisions based on its use, will be error free or produce the intended / desired result. 
The use assume all risk with respect to its use of this tool, which is provided "as-is" and with all faults. The Risk Authority Stanford (TRA) has and assumes no liability with respect to this tool or its use. Each user of this tool will indemnify and hold harmless TRA from any and all loss, liability, damages and claims associated with or arising from its use by such user and from any decision, action or inaction taken by such user due to or based on the tool's output. TRA makes no representation or warranty of any kind, express or implied, with respect to the tool or its use.
</t>
  </si>
  <si>
    <t>Return on Investment</t>
  </si>
  <si>
    <t>Net Present Value of Benefits</t>
  </si>
  <si>
    <t>Medical Malpractice Costs (baseline)</t>
  </si>
  <si>
    <t>Medical Malpractice</t>
  </si>
  <si>
    <t>Med Mal Costs (baseline)</t>
  </si>
  <si>
    <t>Med Mal Reduction Rate</t>
  </si>
  <si>
    <t>Med Mal Costs (with Intervention)</t>
  </si>
  <si>
    <t xml:space="preserve"> </t>
  </si>
  <si>
    <t>Malpractice Reduction Rate</t>
  </si>
  <si>
    <t>Med Mal  Savings</t>
  </si>
  <si>
    <t>Average Cost to Recruit &amp; Train a Nurse or Tech</t>
  </si>
  <si>
    <t>Initial Average Cost to Recruit &amp; Train a a Nurse or Tech</t>
  </si>
  <si>
    <t>Growth Rate</t>
  </si>
  <si>
    <t>Reference Year</t>
  </si>
  <si>
    <t>Change year</t>
  </si>
  <si>
    <t>FINANCIAL PARAMETERS</t>
  </si>
  <si>
    <t>Falls</t>
  </si>
  <si>
    <t>VAP</t>
  </si>
  <si>
    <t>HADU</t>
  </si>
  <si>
    <t>HASSI</t>
  </si>
  <si>
    <t>HACDI</t>
  </si>
  <si>
    <t>Medication with harm</t>
  </si>
  <si>
    <t>CLADI</t>
  </si>
  <si>
    <t>Costs of adverse events - Moffatt-Bruce et al. 2015</t>
  </si>
  <si>
    <t># Patients Per year</t>
  </si>
  <si>
    <t>Patient volume growth rate</t>
  </si>
  <si>
    <t>Med</t>
  </si>
  <si>
    <t>Adverse events per 1000 patient days</t>
  </si>
  <si>
    <t>% adverse events with serious harm</t>
  </si>
  <si>
    <t>% adverse events with minor harm</t>
  </si>
  <si>
    <t>% adverse events with no harm</t>
  </si>
  <si>
    <t>Number of OR physicians</t>
  </si>
  <si>
    <t>Number of OR nursing and other staff</t>
  </si>
  <si>
    <t>Physician turnover rate</t>
  </si>
  <si>
    <t>Nursing and other staff turnover rate</t>
  </si>
  <si>
    <t>Average physician training and recruitment cost</t>
  </si>
  <si>
    <t>Average nursing/other staff training and recruitment cost</t>
  </si>
  <si>
    <t>Randy</t>
  </si>
  <si>
    <t>General surgery claims + indeminty</t>
  </si>
  <si>
    <t>RFO</t>
  </si>
  <si>
    <t>Equipment/resource utilization costs</t>
  </si>
  <si>
    <t>Estimated improvement via improved communication</t>
  </si>
  <si>
    <t>Adverse Events</t>
  </si>
  <si>
    <t>Average length of stay</t>
  </si>
  <si>
    <t>Turnover/Retention</t>
  </si>
  <si>
    <t>Physician annual turnover rate</t>
  </si>
  <si>
    <t>Productivity/Efficiency</t>
  </si>
  <si>
    <t>Current cases per year</t>
  </si>
  <si>
    <t>Average revenue per case</t>
  </si>
  <si>
    <t>Additional cases per year via improved planning/communication/OR turnover</t>
  </si>
  <si>
    <t>Very low estimate</t>
  </si>
  <si>
    <t>Very high estimate</t>
  </si>
  <si>
    <t>Most likely/Median</t>
  </si>
  <si>
    <t>Derived from Moffatt-Bruce, S. D., et al . (2015).   doi.org/10.1177/1062860615608938</t>
  </si>
  <si>
    <t>Hamidi, M. S., et al (2018). doi.org/10.1186/s12913-018-3663-z</t>
  </si>
  <si>
    <t>Range</t>
  </si>
  <si>
    <t>Rank</t>
  </si>
  <si>
    <t>Drivers of Value</t>
  </si>
  <si>
    <t>Best case</t>
  </si>
  <si>
    <t>Worst case</t>
  </si>
  <si>
    <t>ASSUMPTIONS</t>
  </si>
  <si>
    <t>Base Case</t>
  </si>
  <si>
    <t>NEXT STEPS</t>
  </si>
  <si>
    <t>value per month (no costs) for first two years</t>
  </si>
  <si>
    <t>Worst Case</t>
  </si>
  <si>
    <t>Best Case</t>
  </si>
  <si>
    <t>Number of SHC Employees (RNs, Techs, etc)</t>
  </si>
  <si>
    <t>Setup Costs</t>
  </si>
  <si>
    <t>Ongoing Costs</t>
  </si>
  <si>
    <t>Hours of training</t>
  </si>
  <si>
    <t>Annual training hours</t>
  </si>
  <si>
    <t>Hourly cost of training</t>
  </si>
  <si>
    <t>Total Annual training cost</t>
  </si>
  <si>
    <t>Total cost per month</t>
  </si>
  <si>
    <t>Total discounted program benefits</t>
  </si>
  <si>
    <t>Discounted benefits over time</t>
  </si>
  <si>
    <t>Program Staff Costs</t>
  </si>
  <si>
    <t>Total staff costs</t>
  </si>
  <si>
    <t>Number of Employees Growth Rate</t>
  </si>
  <si>
    <t>Number of Employees Reference Year</t>
  </si>
  <si>
    <t>Total discounted program costs</t>
  </si>
  <si>
    <t>Version</t>
  </si>
  <si>
    <t>Absenteeism rate (baseline)</t>
  </si>
  <si>
    <t>Annual discounted net cashflow (in operation)</t>
  </si>
  <si>
    <t>Initial CashOut</t>
  </si>
  <si>
    <t>Expected change and total value over 5yrs</t>
  </si>
  <si>
    <t xml:space="preserve">Prepared by </t>
  </si>
  <si>
    <t>Value Drivers</t>
  </si>
  <si>
    <t>Stage 1-2 HAPIs</t>
  </si>
  <si>
    <t>Stage 3-4 HAPIs</t>
  </si>
  <si>
    <t>Average cost of fall</t>
  </si>
  <si>
    <t>Number per year</t>
  </si>
  <si>
    <t>Quality Improvement</t>
  </si>
  <si>
    <t>Length of stay</t>
  </si>
  <si>
    <t>Average cost of Stage 1-2 HAPI</t>
  </si>
  <si>
    <t>Average cost of Stage 3-4 HAPI</t>
  </si>
  <si>
    <t>Laundry</t>
  </si>
  <si>
    <t>Staff turnover rate</t>
  </si>
  <si>
    <t>Standard Growth Rate</t>
  </si>
  <si>
    <t>Patient handling workers comp (baseline)</t>
  </si>
  <si>
    <t>Number of claims</t>
  </si>
  <si>
    <t>Staff Replacement Costs 2/2 Handling Injuries</t>
  </si>
  <si>
    <t>2013-2018 Av: 98  SD 26</t>
  </si>
  <si>
    <t>HAPIs</t>
  </si>
  <si>
    <t>Fall Reduction Rate</t>
  </si>
  <si>
    <t>Campo et al. 2012 showed 5% reduction in LOS</t>
  </si>
  <si>
    <t>Adler et al. 2012 found no evidence of improved LOS</t>
  </si>
  <si>
    <t>2% of hospital stays; 3.3-11.5 falls per 1,000 patient days. Bouldin et al (2013)</t>
  </si>
  <si>
    <t>HAPI Reduction Rate</t>
  </si>
  <si>
    <t xml:space="preserve">MedMal_Reduction_Rate </t>
  </si>
  <si>
    <t>MedMal Growth Rate</t>
  </si>
  <si>
    <t>MedMal Ref Year</t>
  </si>
  <si>
    <t>MedMal Change Year</t>
  </si>
  <si>
    <t>MedMal Change Period</t>
  </si>
  <si>
    <t>WC costs (baseline)</t>
  </si>
  <si>
    <t>WC growth</t>
  </si>
  <si>
    <t>WC ref year</t>
  </si>
  <si>
    <t>WC Change Year</t>
  </si>
  <si>
    <t>WC Change Period</t>
  </si>
  <si>
    <t>WC Reduction Rate</t>
  </si>
  <si>
    <t>WC Costs (with Intervention)</t>
  </si>
  <si>
    <t>Reduction on PH-related turnover</t>
  </si>
  <si>
    <t>Patient Falls</t>
  </si>
  <si>
    <t>L&amp;R Reduction</t>
  </si>
  <si>
    <t>L&amp;R Reduction Rate</t>
  </si>
  <si>
    <t>L&amp;R costs (baseline)</t>
  </si>
  <si>
    <t>Lost &amp; Restricted Days</t>
  </si>
  <si>
    <t>Average salary</t>
  </si>
  <si>
    <t>L&amp;R Savings (w/ Program)</t>
  </si>
  <si>
    <t>Loss &amp; Restricted Days Savings</t>
  </si>
  <si>
    <t>Workers Compensation</t>
  </si>
  <si>
    <t>Number of Staff Handling Patients</t>
  </si>
  <si>
    <t>Number of Staff Quit 2/2 Injury (baseline)</t>
  </si>
  <si>
    <t>Average Cost to Recruit &amp; Train</t>
  </si>
  <si>
    <t>Annual Retention Cost 2/2 Injuries (baseline)</t>
  </si>
  <si>
    <t>Patient Falls Costs (Baseline)</t>
  </si>
  <si>
    <t>Patient Falls Savings (w/ Program)</t>
  </si>
  <si>
    <t xml:space="preserve">Patient Falls Reduction Rate </t>
  </si>
  <si>
    <t>Patient Falls Savings</t>
  </si>
  <si>
    <t>HAPIs Stage 1-2 Costs (baseline)</t>
  </si>
  <si>
    <t>Number of falls with harm</t>
  </si>
  <si>
    <t>The incremental cost of treating  stage 3 PUs range between $5,900-$14,840, and stage 4 Pus cost as much as $18,730-$21,410. (Septz, et al. 2013)</t>
  </si>
  <si>
    <t>HAPIs Stage 1-2 Reduction Rate</t>
  </si>
  <si>
    <t>HAPIs Stage 1-2  Costs (w/ Program)</t>
  </si>
  <si>
    <t>HAPIs Stage 1-2 Savings</t>
  </si>
  <si>
    <t>n per 1000 patient days (as %)</t>
  </si>
  <si>
    <t xml:space="preserve">Stage 1-2 Reduction Rate </t>
  </si>
  <si>
    <t>Stage 3-4 Reduction Rate</t>
  </si>
  <si>
    <t>0.57 global per Rondinelli (2018)</t>
  </si>
  <si>
    <t>n HAPIs per 1000 patient days</t>
  </si>
  <si>
    <t>HAPIs Stage 3-4 Costs (baseline)</t>
  </si>
  <si>
    <t>HAPIs Stage 3-4 Reduction Rate</t>
  </si>
  <si>
    <t>HAPIs Stage 3-4  Costs (w/ Program)</t>
  </si>
  <si>
    <t>HAPIs Stage 3-4 Savings</t>
  </si>
  <si>
    <t>Employee Turnover</t>
  </si>
  <si>
    <t>Upfront cost</t>
  </si>
  <si>
    <t>Y1</t>
  </si>
  <si>
    <t>Y2</t>
  </si>
  <si>
    <t>Y3</t>
  </si>
  <si>
    <t>Y4</t>
  </si>
  <si>
    <t>Y5</t>
  </si>
  <si>
    <t>Total value</t>
  </si>
  <si>
    <t>LR_Costs_Worst</t>
  </si>
  <si>
    <t>LR_Growth_Worst</t>
  </si>
  <si>
    <t>LR_Ref_Worst</t>
  </si>
  <si>
    <t>LR_ChangePeriod_Worst</t>
  </si>
  <si>
    <t>LR_ChangeYear_Worst</t>
  </si>
  <si>
    <t>LR_Reduction_Worst</t>
  </si>
  <si>
    <t>A</t>
  </si>
  <si>
    <t>B</t>
  </si>
  <si>
    <t>C</t>
  </si>
  <si>
    <t>LR_Cost_C</t>
  </si>
  <si>
    <t>LR_Growth_C</t>
  </si>
  <si>
    <t>LR_Ref_C</t>
  </si>
  <si>
    <t>LR_ChangeP_C</t>
  </si>
  <si>
    <t>LR_Reduction_C</t>
  </si>
  <si>
    <t>Staff_A</t>
  </si>
  <si>
    <t>StaffGrowth_A</t>
  </si>
  <si>
    <t>StaffRef_A</t>
  </si>
  <si>
    <t>Staff_C</t>
  </si>
  <si>
    <t>StaffGrowth_C</t>
  </si>
  <si>
    <t>StaffRef_C</t>
  </si>
  <si>
    <t>TO_Period_A</t>
  </si>
  <si>
    <t>TO_Period_C</t>
  </si>
  <si>
    <t>TO_Yr_A</t>
  </si>
  <si>
    <t>TO_Red_A</t>
  </si>
  <si>
    <t>TO_Rate_Injury_A</t>
  </si>
  <si>
    <t>TO_Rate_A</t>
  </si>
  <si>
    <t>TO_Rate_C</t>
  </si>
  <si>
    <t>TO_Rate_Injury_C</t>
  </si>
  <si>
    <t>TO_Red_C</t>
  </si>
  <si>
    <t>TO_Yr_C</t>
  </si>
  <si>
    <t>StaffCost_A</t>
  </si>
  <si>
    <t>StaffCostGrow_A</t>
  </si>
  <si>
    <t>StaffCostRef_A</t>
  </si>
  <si>
    <t>StaffCost_C</t>
  </si>
  <si>
    <t>StaffCostGrow_C</t>
  </si>
  <si>
    <t>StaffCostRef_C</t>
  </si>
  <si>
    <t>FallCost_A</t>
  </si>
  <si>
    <t>FallRef_A</t>
  </si>
  <si>
    <t>FallGrowth_A</t>
  </si>
  <si>
    <t>FallCost_C</t>
  </si>
  <si>
    <t>FallRef_C</t>
  </si>
  <si>
    <t>PtDays_C</t>
  </si>
  <si>
    <t>PtDays_A</t>
  </si>
  <si>
    <t>PtDaysRef_A</t>
  </si>
  <si>
    <t>PtDaysRef_C</t>
  </si>
  <si>
    <t>FallGrowth_C</t>
  </si>
  <si>
    <t>FallsHarm_A</t>
  </si>
  <si>
    <t>FallRate_A</t>
  </si>
  <si>
    <t>FallRate_C</t>
  </si>
  <si>
    <t>FallHarm_C</t>
  </si>
  <si>
    <t>FallYr_A</t>
  </si>
  <si>
    <t>FallPeriod_A</t>
  </si>
  <si>
    <t>FallReduction_A</t>
  </si>
  <si>
    <t>FallYr_C</t>
  </si>
  <si>
    <t>FallPeriod_C</t>
  </si>
  <si>
    <t>FallReduction_C</t>
  </si>
  <si>
    <t>PI12_Ref_A</t>
  </si>
  <si>
    <t>PI12_PerYr_A</t>
  </si>
  <si>
    <t>PI12_Cost_A</t>
  </si>
  <si>
    <t>PI34_Cost_A</t>
  </si>
  <si>
    <t>PI34_Grow_A</t>
  </si>
  <si>
    <t>PI12_Grow_A</t>
  </si>
  <si>
    <t>PI34_PerYr_A</t>
  </si>
  <si>
    <t>PI34_Ref_A</t>
  </si>
  <si>
    <t>PI_ChangeYr_A</t>
  </si>
  <si>
    <t>PI_ChangePeriod_A</t>
  </si>
  <si>
    <t>PI34_Reduce_A</t>
  </si>
  <si>
    <t>PI12_Reduce_A</t>
  </si>
  <si>
    <t>PI12_Cost_C</t>
  </si>
  <si>
    <t>PI12_Grow_C</t>
  </si>
  <si>
    <t>PI12_PerYr_C</t>
  </si>
  <si>
    <t>PI12_Ref_C</t>
  </si>
  <si>
    <t>PI34_Cost_C</t>
  </si>
  <si>
    <t>PI34_Grow_C</t>
  </si>
  <si>
    <t>PI34_PerYr_C</t>
  </si>
  <si>
    <t>PI34_Ref_C</t>
  </si>
  <si>
    <t>PI_ChangeYr_C</t>
  </si>
  <si>
    <t>PI_ChangePeriod_C</t>
  </si>
  <si>
    <t>PI12_Reduce_C</t>
  </si>
  <si>
    <t>PI34_Reduce_C</t>
  </si>
  <si>
    <t>PI12_Rate_A</t>
  </si>
  <si>
    <t>PI12_Rate_C</t>
  </si>
  <si>
    <t>PI34_Rate_A</t>
  </si>
  <si>
    <t>PI34_Rate_C</t>
  </si>
  <si>
    <t>LR_ChangeYear_C</t>
  </si>
  <si>
    <t>Costs_A</t>
  </si>
  <si>
    <t>Costs_C</t>
  </si>
  <si>
    <t>Total Setup Costs</t>
  </si>
  <si>
    <t>Costs_B</t>
  </si>
  <si>
    <t>Setup_A</t>
  </si>
  <si>
    <t>Setup_B</t>
  </si>
  <si>
    <t>Setup_C</t>
  </si>
  <si>
    <t>CostsGrow_A</t>
  </si>
  <si>
    <t>Costs_Ref_A</t>
  </si>
  <si>
    <t>CostsGrow_B</t>
  </si>
  <si>
    <t>Costs_Ref_B</t>
  </si>
  <si>
    <t>CostsGrow_C</t>
  </si>
  <si>
    <t>Costs_Ref_C</t>
  </si>
  <si>
    <t>NPV_OngoingCosts_B</t>
  </si>
  <si>
    <t>NPV_OngoingCosts_A</t>
  </si>
  <si>
    <t>NPV_OngoingCosts_C</t>
  </si>
  <si>
    <t>Reduction Rate</t>
  </si>
  <si>
    <t>Equipment</t>
  </si>
  <si>
    <t>Ranges</t>
  </si>
  <si>
    <t>MedMal Reduction Rate</t>
  </si>
  <si>
    <t>SCENARIOS</t>
  </si>
  <si>
    <t>Scenario</t>
  </si>
  <si>
    <t>Benefits</t>
  </si>
  <si>
    <t>Expected Value</t>
  </si>
  <si>
    <t>IRR Calculation (Base Case)</t>
  </si>
  <si>
    <t>Some equipment + minimal training + limited scope</t>
  </si>
  <si>
    <t>Equipment + Single Annual Training + House-wide</t>
  </si>
  <si>
    <t>Equipment + Lift Coaching + In-Situ Staff Training + House-wide</t>
  </si>
  <si>
    <t>One-time Equipment costs</t>
  </si>
  <si>
    <t>Overhead lifts, slings, etc.</t>
  </si>
  <si>
    <t>Consultants, etc.</t>
  </si>
  <si>
    <t>Lift Coaches</t>
  </si>
  <si>
    <t>Annual Staff Training</t>
  </si>
  <si>
    <t>Total equipment costs</t>
  </si>
  <si>
    <t>Temporary disability leave</t>
  </si>
  <si>
    <t>Net Present Value of Program to Stanford</t>
  </si>
  <si>
    <t>Return on Investment (ROI)</t>
  </si>
  <si>
    <t>Total Value</t>
  </si>
  <si>
    <t>Equipment &amp; Maintenance</t>
  </si>
  <si>
    <t>Ongoing Annual Costs</t>
  </si>
  <si>
    <t>Hours of Training</t>
  </si>
  <si>
    <t>% Clinical Staff Trained Annually</t>
  </si>
  <si>
    <t>% Existing Staff to be Trained</t>
  </si>
  <si>
    <t>Hours of Traning</t>
  </si>
  <si>
    <t>NPVs for Comparison</t>
  </si>
  <si>
    <t>&lt;--fill in manually</t>
  </si>
  <si>
    <t>Program Coordinator FTEs</t>
  </si>
  <si>
    <t>Coordinator Salary</t>
  </si>
  <si>
    <t>In Basic, requires 2hr training course. Optimal is in-situ via Lift Coaches</t>
  </si>
  <si>
    <t>Basic + Optimal is same</t>
  </si>
  <si>
    <t>Base case</t>
  </si>
  <si>
    <t>Pilot Program</t>
  </si>
  <si>
    <t>Basic Program</t>
  </si>
  <si>
    <t>Optimal Program</t>
  </si>
  <si>
    <t>Cost of Training Venue</t>
  </si>
  <si>
    <t>The incremental cost of treating stage 1 PUs is just over $2,000, stage 2 PUs range
between $3,000-$10,000 (Septz, et al. 2013), increased to 2019 dollars</t>
  </si>
  <si>
    <t>&lt;--model is running numbers for this Scenario</t>
  </si>
  <si>
    <t>Safe Patient Handling - Return on Investment Model</t>
  </si>
  <si>
    <t>Model inputs</t>
  </si>
  <si>
    <t>Auto-populated calculations for variable ranges</t>
  </si>
  <si>
    <t>Sponsor</t>
  </si>
  <si>
    <t>Initial Costs</t>
  </si>
  <si>
    <t>Galbraith et al (2011), Haines et. al. (2013), Health Research &amp; Educational Trust. (2016). AHRQ 2017  https://www.ahrq.gov/professionals/quality-patient-safety/pfp/haccost2017-results.html</t>
  </si>
  <si>
    <t>Slign maintenance and replacement costs</t>
  </si>
  <si>
    <t>MODEL INPUTS (APPLY TO ALL SCENARIOS)</t>
  </si>
  <si>
    <t>***</t>
  </si>
  <si>
    <t>L&amp;R Costs + Agency (baseline)---based on assumptions</t>
  </si>
  <si>
    <t>Total tempoary disability payments annually</t>
  </si>
  <si>
    <t>Total temporary paid disability payments is $600-800k per year</t>
  </si>
  <si>
    <t>Estimated based on literature averages</t>
  </si>
  <si>
    <t># Falls with harm per assumptions</t>
  </si>
  <si>
    <t># Falls with harm per SHC data</t>
  </si>
  <si>
    <t>33% per Health Research &amp; Educational Trust. (2016)</t>
  </si>
  <si>
    <t>Turnover related to patient handling</t>
  </si>
  <si>
    <t>% falls resulting in patient harm</t>
  </si>
  <si>
    <t>Per SHC 2018 data, 63 falls with harm per year. We are MUCH less than national average, suggesting underreporting.</t>
  </si>
  <si>
    <t>Add 20% to Stanford data to account for under-reporting.</t>
  </si>
  <si>
    <t>Includes education and life coaching assistance.</t>
  </si>
  <si>
    <t>[Hard to measure]</t>
  </si>
  <si>
    <t>Average Nurse Salary  (use the same for each scenario)</t>
  </si>
  <si>
    <t>Falls and Pressure Ulcers claims.  Av. industry cost=$133k per CNA closed claims report 2015</t>
  </si>
  <si>
    <t>Pilot Program - assume achieve 25% of 'basic program' impact because high-risk, high-focus program</t>
  </si>
  <si>
    <t>Medmal takes 4yrs to mature</t>
  </si>
  <si>
    <t>Data from Bean (2017) - BeckersHospitalReview</t>
  </si>
  <si>
    <t>Based on historical data + projection</t>
  </si>
  <si>
    <t>Stanford achieved 50% reduction since 2009.</t>
  </si>
  <si>
    <t>Absentee 2/2 handling injuries 1wk&lt;</t>
  </si>
  <si>
    <t>% cost of Agency Use</t>
  </si>
  <si>
    <t>Agency hourly rates are 80% of full-tilt employees</t>
  </si>
  <si>
    <t>Annual agency costs 2/2 PH injuries</t>
  </si>
  <si>
    <t>Est. nurses + PT + techs</t>
  </si>
  <si>
    <t>Local market rates</t>
  </si>
  <si>
    <t>Est. from literature</t>
  </si>
  <si>
    <t>Per lit: 1 in 10 staff have an injury, 25% are PH related. PH injuries are #1 reason  to leave profession.</t>
  </si>
  <si>
    <t>Annual Patient Days</t>
  </si>
  <si>
    <t>IRR</t>
  </si>
  <si>
    <t>Assume 90% are Stage 1-2</t>
  </si>
  <si>
    <t xml:space="preserve">Assume 10% are Stage 3-4 </t>
  </si>
  <si>
    <t>Ed Hall</t>
  </si>
  <si>
    <t>Simon Mawer</t>
  </si>
  <si>
    <t>[For Demonstration Purposes Only]</t>
  </si>
  <si>
    <t xml:space="preserve">All data in this model has been generated from literature sources or best-guess estimates for the purposes of demonstration only. We make no warranties as to its integrity or validity.  An intention behind this model was not to require macros or additional add-ons. Therefore, there is need to manually update the Tornado diagram and Comparison chart when changes are made. Instructions are provided.   If you would like assistance in how to develop, use, or apply these tools in practice, please contact Simon Mawer (smawer@stanfordhealthcare.org). </t>
  </si>
  <si>
    <t>INPUTS FOR WATERFALL CHART</t>
  </si>
  <si>
    <t>INPUTS FOR TORNADO DIAGRAM</t>
  </si>
  <si>
    <t>INPUTS FOR COMPARISON CHART</t>
  </si>
  <si>
    <t>In this section, input value drivers that will vary based on different program strategies.</t>
  </si>
  <si>
    <t>$1M for Lift Coaches in Optimal Program only.</t>
  </si>
  <si>
    <t>Pilot program only requires slings, etc.   Basic and Optimal include slings and lifts.</t>
  </si>
  <si>
    <t>Pilot program includes 2-3 high-risk units that comprise 30% of losses only.</t>
  </si>
  <si>
    <t xml:space="preserve">Optimal program includes in-situ training. </t>
  </si>
  <si>
    <t>Project costs</t>
  </si>
  <si>
    <t>NB: Nothing to input here.</t>
  </si>
  <si>
    <t>NB: On open, the Tornado vertical axis value resets. This is a bug in excel. To fix, follow the instructions in Note 1 in the green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</si>
</sst>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809]#,##0.00"/>
    <numFmt numFmtId="168" formatCode="_(&quot;$&quot;* #,##0_);_(&quot;$&quot;* \(#,##0\);_(&quot;$&quot;* &quot;-&quot;??_);_(@_)"/>
    <numFmt numFmtId="169" formatCode="_(&quot;$&quot;* #,##0.0_);_(&quot;$&quot;* \(#,##0.0\);_(&quot;$&quot;* &quot;-&quot;??_);_(@_)"/>
    <numFmt numFmtId="170" formatCode="_(* #,##0_);_(* \(#,##0\);_(* &quot;-&quot;?_);_(@_)"/>
    <numFmt numFmtId="171" formatCode="&quot;$&quot;#,##0.00"/>
  </numFmts>
  <fonts count="4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i/>
      <sz val="10"/>
      <name val="Arial"/>
      <family val="2"/>
    </font>
    <font>
      <i/>
      <sz val="10"/>
      <color indexed="10"/>
      <name val="Arial"/>
      <family val="2"/>
    </font>
    <font>
      <b/>
      <sz val="10"/>
      <color indexed="56"/>
      <name val="Arial"/>
      <family val="2"/>
    </font>
    <font>
      <sz val="10"/>
      <color indexed="14"/>
      <name val="Arial"/>
      <family val="2"/>
    </font>
    <font>
      <sz val="10"/>
      <color rgb="FFFF0000"/>
      <name val="Arial"/>
      <family val="2"/>
    </font>
    <font>
      <b/>
      <sz val="12"/>
      <name val="Arial"/>
      <family val="2"/>
    </font>
    <font>
      <sz val="8"/>
      <color rgb="FF333333"/>
      <name val="Arial"/>
      <family val="2"/>
    </font>
    <font>
      <sz val="10"/>
      <color theme="0" tint="-0.14999847407452621"/>
      <name val="Arial"/>
      <family val="2"/>
    </font>
    <font>
      <sz val="12"/>
      <color theme="1"/>
      <name val="Calibri"/>
      <family val="2"/>
      <scheme val="minor"/>
    </font>
    <font>
      <i/>
      <sz val="12"/>
      <color rgb="FF7F7F7F"/>
      <name val="Calibri"/>
      <family val="2"/>
      <scheme val="minor"/>
    </font>
    <font>
      <sz val="10"/>
      <color theme="1"/>
      <name val="Arial"/>
      <family val="2"/>
    </font>
    <font>
      <sz val="12"/>
      <color rgb="FF9C5700"/>
      <name val="Calibri"/>
      <family val="2"/>
      <scheme val="minor"/>
    </font>
    <font>
      <sz val="11"/>
      <color rgb="FF222222"/>
      <name val="Helvetica Neue"/>
      <family val="2"/>
    </font>
    <font>
      <sz val="18"/>
      <color theme="3"/>
      <name val="Cambria"/>
      <family val="2"/>
      <scheme val="major"/>
    </font>
    <font>
      <b/>
      <sz val="18"/>
      <color rgb="FFD60C70"/>
      <name val="Arial"/>
      <family val="2"/>
    </font>
    <font>
      <b/>
      <i/>
      <sz val="12"/>
      <color rgb="FF7F7F7F"/>
      <name val="Calibri"/>
      <family val="2"/>
      <scheme val="minor"/>
    </font>
    <font>
      <b/>
      <sz val="12"/>
      <color theme="0"/>
      <name val="Calibri"/>
      <family val="2"/>
      <scheme val="minor"/>
    </font>
    <font>
      <sz val="10"/>
      <color theme="0" tint="-4.9989318521683403E-2"/>
      <name val="Arial"/>
      <family val="2"/>
    </font>
    <font>
      <b/>
      <sz val="10"/>
      <color theme="0" tint="-4.9989318521683403E-2"/>
      <name val="Arial"/>
      <family val="2"/>
    </font>
    <font>
      <b/>
      <sz val="12"/>
      <color theme="0" tint="-4.9989318521683403E-2"/>
      <name val="Calibri"/>
      <family val="2"/>
      <scheme val="minor"/>
    </font>
    <font>
      <sz val="10"/>
      <name val="Avenir Book"/>
      <family val="2"/>
    </font>
    <font>
      <b/>
      <sz val="10"/>
      <color theme="1"/>
      <name val="Arial"/>
      <family val="2"/>
    </font>
    <font>
      <i/>
      <sz val="10"/>
      <name val="Avenir Book"/>
      <family val="2"/>
    </font>
    <font>
      <b/>
      <sz val="16"/>
      <name val="Avenir Book"/>
      <family val="2"/>
    </font>
    <font>
      <sz val="12"/>
      <name val="Avenir Book"/>
      <family val="2"/>
    </font>
    <font>
      <b/>
      <sz val="12"/>
      <color theme="0"/>
      <name val="Avenir Book"/>
      <family val="2"/>
    </font>
    <font>
      <sz val="14"/>
      <color rgb="FF8C1515"/>
      <name val="Arial"/>
      <family val="2"/>
    </font>
    <font>
      <b/>
      <sz val="12"/>
      <color rgb="FF8C1515"/>
      <name val="Avenir Book"/>
      <family val="2"/>
    </font>
    <font>
      <b/>
      <sz val="12"/>
      <color theme="0" tint="-4.9989318521683403E-2"/>
      <name val="Avenir Book"/>
      <family val="2"/>
    </font>
    <font>
      <b/>
      <sz val="22"/>
      <color rgb="FF8C1515"/>
      <name val="Avenir Book"/>
      <family val="2"/>
    </font>
    <font>
      <b/>
      <sz val="16"/>
      <color theme="0"/>
      <name val="Avenir Book"/>
      <family val="2"/>
    </font>
    <font>
      <b/>
      <sz val="12"/>
      <color rgb="FFFA7D00"/>
      <name val="Calibri"/>
      <family val="2"/>
      <scheme val="minor"/>
    </font>
    <font>
      <i/>
      <sz val="12"/>
      <color rgb="FFFF0000"/>
      <name val="Calibri"/>
      <family val="2"/>
      <scheme val="minor"/>
    </font>
    <font>
      <sz val="10"/>
      <color theme="0"/>
      <name val="Arial"/>
      <family val="2"/>
    </font>
    <font>
      <i/>
      <sz val="12"/>
      <color theme="0"/>
      <name val="Calibri"/>
      <family val="2"/>
      <scheme val="minor"/>
    </font>
    <font>
      <b/>
      <sz val="14"/>
      <color theme="0"/>
      <name val="Arial"/>
      <family val="2"/>
    </font>
    <font>
      <b/>
      <sz val="10"/>
      <color rgb="FF8C1514"/>
      <name val="Arial"/>
      <family val="2"/>
    </font>
    <font>
      <sz val="10"/>
      <color theme="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indexed="13"/>
        <bgColor indexed="64"/>
      </patternFill>
    </fill>
    <fill>
      <patternFill patternType="solid">
        <fgColor indexed="10"/>
        <bgColor indexed="64"/>
      </patternFill>
    </fill>
    <fill>
      <patternFill patternType="solid">
        <fgColor rgb="FFFFE7FF"/>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EB9C"/>
      </patternFill>
    </fill>
    <fill>
      <patternFill patternType="solid">
        <fgColor rgb="FF8C1515"/>
        <bgColor indexed="64"/>
      </patternFill>
    </fill>
    <fill>
      <patternFill patternType="solid">
        <fgColor theme="0" tint="-0.249977111117893"/>
        <bgColor indexed="64"/>
      </patternFill>
    </fill>
    <fill>
      <patternFill patternType="solid">
        <fgColor rgb="FFF2F2F2"/>
      </patternFill>
    </fill>
    <fill>
      <patternFill patternType="solid">
        <fgColor rgb="FFFFE7FF"/>
        <bgColor rgb="FF000000"/>
      </patternFill>
    </fill>
    <fill>
      <patternFill patternType="solid">
        <fgColor rgb="FF8C151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1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s>
  <cellStyleXfs count="22">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xf numFmtId="0" fontId="6" fillId="3" borderId="0" applyNumberFormat="0" applyBorder="0" applyAlignment="0"/>
    <xf numFmtId="0" fontId="7" fillId="0" borderId="0" applyNumberFormat="0" applyFill="0" applyBorder="0" applyAlignment="0" applyProtection="0"/>
    <xf numFmtId="0" fontId="8" fillId="4" borderId="0" applyNumberFormat="0" applyBorder="0" applyAlignment="0"/>
    <xf numFmtId="0" fontId="9" fillId="0" borderId="2" applyNumberFormat="0" applyAlignment="0"/>
    <xf numFmtId="0" fontId="3" fillId="0" borderId="0"/>
    <xf numFmtId="43" fontId="3" fillId="0" borderId="0" applyFont="0" applyFill="0" applyBorder="0" applyAlignment="0" applyProtection="0"/>
    <xf numFmtId="0" fontId="2" fillId="0" borderId="0"/>
    <xf numFmtId="0" fontId="14" fillId="0" borderId="0"/>
    <xf numFmtId="43"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0" fontId="1" fillId="0" borderId="0"/>
    <xf numFmtId="43" fontId="1" fillId="0" borderId="0" applyFont="0" applyFill="0" applyBorder="0" applyAlignment="0" applyProtection="0"/>
    <xf numFmtId="0" fontId="15" fillId="0" borderId="0" applyNumberFormat="0" applyFill="0" applyBorder="0" applyAlignment="0" applyProtection="0"/>
    <xf numFmtId="0" fontId="17" fillId="10" borderId="0" applyNumberFormat="0" applyBorder="0" applyAlignment="0" applyProtection="0"/>
    <xf numFmtId="0" fontId="19" fillId="0" borderId="0" applyNumberFormat="0" applyFill="0" applyBorder="0" applyAlignment="0" applyProtection="0"/>
    <xf numFmtId="0" fontId="37" fillId="13" borderId="7" applyNumberFormat="0" applyAlignment="0" applyProtection="0"/>
  </cellStyleXfs>
  <cellXfs count="282">
    <xf numFmtId="0" fontId="0" fillId="0" borderId="0" xfId="0"/>
    <xf numFmtId="0" fontId="5" fillId="0" borderId="0" xfId="0" applyFont="1"/>
    <xf numFmtId="0" fontId="0" fillId="0" borderId="0" xfId="0" quotePrefix="1"/>
    <xf numFmtId="164" fontId="0" fillId="0" borderId="0" xfId="0" applyNumberFormat="1"/>
    <xf numFmtId="9" fontId="0" fillId="0" borderId="0" xfId="0" applyNumberFormat="1"/>
    <xf numFmtId="0" fontId="4" fillId="0" borderId="0" xfId="0" applyFont="1"/>
    <xf numFmtId="6" fontId="0" fillId="0" borderId="0" xfId="0" applyNumberFormat="1"/>
    <xf numFmtId="8" fontId="0" fillId="0" borderId="0" xfId="0" applyNumberFormat="1"/>
    <xf numFmtId="0" fontId="4" fillId="0" borderId="0" xfId="0" applyFont="1" applyFill="1" applyBorder="1" applyAlignment="1">
      <alignment horizontal="left"/>
    </xf>
    <xf numFmtId="0" fontId="4" fillId="0" borderId="0" xfId="0" applyFont="1" applyFill="1" applyBorder="1" applyAlignment="1">
      <alignment horizontal="center"/>
    </xf>
    <xf numFmtId="165" fontId="4" fillId="0" borderId="0" xfId="1" applyNumberFormat="1" applyFont="1" applyFill="1" applyBorder="1" applyAlignment="1">
      <alignment horizontal="right"/>
    </xf>
    <xf numFmtId="0" fontId="4" fillId="0" borderId="0" xfId="0" quotePrefix="1" applyFont="1" applyFill="1" applyBorder="1" applyAlignment="1">
      <alignment horizontal="center"/>
    </xf>
    <xf numFmtId="9" fontId="4" fillId="0" borderId="0" xfId="3" applyFont="1" applyFill="1" applyBorder="1" applyAlignment="1">
      <alignment horizontal="right"/>
    </xf>
    <xf numFmtId="0" fontId="4" fillId="0" borderId="0" xfId="0" applyFont="1" applyFill="1" applyBorder="1" applyAlignment="1">
      <alignment horizontal="right"/>
    </xf>
    <xf numFmtId="0" fontId="4" fillId="0" borderId="0" xfId="0" applyFont="1" applyFill="1" applyBorder="1"/>
    <xf numFmtId="0" fontId="0" fillId="0" borderId="0" xfId="0" applyBorder="1" applyAlignment="1">
      <alignment horizontal="center"/>
    </xf>
    <xf numFmtId="42" fontId="10" fillId="0" borderId="0" xfId="0" applyNumberFormat="1" applyFont="1"/>
    <xf numFmtId="9" fontId="0" fillId="0" borderId="0" xfId="3" applyFont="1"/>
    <xf numFmtId="9" fontId="5" fillId="0" borderId="1" xfId="3" applyFont="1" applyBorder="1"/>
    <xf numFmtId="0" fontId="12" fillId="0" borderId="0" xfId="0" applyFont="1"/>
    <xf numFmtId="0" fontId="0" fillId="0" borderId="0" xfId="0" applyFill="1"/>
    <xf numFmtId="0" fontId="0" fillId="0" borderId="3" xfId="0" applyBorder="1"/>
    <xf numFmtId="0" fontId="5" fillId="2" borderId="3" xfId="0" applyFont="1" applyFill="1" applyBorder="1"/>
    <xf numFmtId="0" fontId="5" fillId="2" borderId="4" xfId="0" applyFont="1" applyFill="1" applyBorder="1"/>
    <xf numFmtId="0" fontId="0" fillId="0" borderId="0" xfId="0" applyFont="1"/>
    <xf numFmtId="9" fontId="0" fillId="0" borderId="0" xfId="0" applyNumberFormat="1" applyFill="1"/>
    <xf numFmtId="0" fontId="4" fillId="0" borderId="0" xfId="0" applyFont="1" applyFill="1"/>
    <xf numFmtId="165" fontId="4" fillId="5" borderId="0" xfId="1" applyNumberFormat="1" applyFont="1" applyFill="1" applyBorder="1" applyAlignment="1">
      <alignment horizontal="right"/>
    </xf>
    <xf numFmtId="166" fontId="4" fillId="5" borderId="0" xfId="3" applyNumberFormat="1" applyFont="1" applyFill="1" applyBorder="1" applyAlignment="1">
      <alignment horizontal="right"/>
    </xf>
    <xf numFmtId="0" fontId="4" fillId="5" borderId="0" xfId="0" applyFont="1" applyFill="1" applyBorder="1" applyAlignment="1">
      <alignment horizontal="right"/>
    </xf>
    <xf numFmtId="9" fontId="4" fillId="5" borderId="0" xfId="3" applyFont="1" applyFill="1" applyBorder="1" applyAlignment="1">
      <alignment horizontal="right"/>
    </xf>
    <xf numFmtId="168" fontId="0" fillId="0" borderId="0" xfId="2" applyNumberFormat="1" applyFont="1"/>
    <xf numFmtId="168" fontId="5" fillId="0" borderId="4" xfId="2" applyNumberFormat="1" applyFont="1" applyBorder="1"/>
    <xf numFmtId="168" fontId="5" fillId="0" borderId="5" xfId="2" applyNumberFormat="1" applyFont="1" applyBorder="1"/>
    <xf numFmtId="168" fontId="5" fillId="0" borderId="0" xfId="2" applyNumberFormat="1" applyFont="1"/>
    <xf numFmtId="168" fontId="5" fillId="0" borderId="1" xfId="2" applyNumberFormat="1" applyFont="1" applyBorder="1"/>
    <xf numFmtId="0" fontId="0" fillId="0" borderId="0" xfId="0" applyFont="1" applyFill="1" applyBorder="1" applyAlignment="1">
      <alignment horizontal="left"/>
    </xf>
    <xf numFmtId="0" fontId="0" fillId="0" borderId="0" xfId="0" applyBorder="1"/>
    <xf numFmtId="0" fontId="5" fillId="0" borderId="0" xfId="0" applyFont="1" applyFill="1" applyBorder="1" applyAlignment="1">
      <alignment horizontal="center"/>
    </xf>
    <xf numFmtId="0" fontId="0" fillId="0" borderId="0" xfId="0" applyFont="1" applyFill="1" applyBorder="1"/>
    <xf numFmtId="0" fontId="0" fillId="0" borderId="0" xfId="0" applyAlignment="1">
      <alignment horizontal="left"/>
    </xf>
    <xf numFmtId="168" fontId="0" fillId="0" borderId="0" xfId="2" applyNumberFormat="1" applyFont="1" applyFill="1"/>
    <xf numFmtId="3" fontId="16" fillId="0" borderId="0" xfId="0" applyNumberFormat="1" applyFont="1" applyFill="1"/>
    <xf numFmtId="0" fontId="0" fillId="0" borderId="0" xfId="0" applyFill="1" applyBorder="1"/>
    <xf numFmtId="0" fontId="0" fillId="7" borderId="0" xfId="0" applyFill="1"/>
    <xf numFmtId="9" fontId="0" fillId="7" borderId="0" xfId="3" applyFont="1" applyFill="1"/>
    <xf numFmtId="0" fontId="0" fillId="8" borderId="0" xfId="0" applyFill="1"/>
    <xf numFmtId="9" fontId="0" fillId="8" borderId="0" xfId="3" applyFont="1" applyFill="1"/>
    <xf numFmtId="0" fontId="0" fillId="9" borderId="0" xfId="0" applyFill="1"/>
    <xf numFmtId="9" fontId="0" fillId="9" borderId="0" xfId="3" applyFont="1" applyFill="1"/>
    <xf numFmtId="1" fontId="0" fillId="7" borderId="0" xfId="2" applyNumberFormat="1" applyFont="1" applyFill="1"/>
    <xf numFmtId="1" fontId="0" fillId="9" borderId="0" xfId="2" applyNumberFormat="1" applyFont="1" applyFill="1"/>
    <xf numFmtId="1" fontId="0" fillId="8" borderId="0" xfId="2" applyNumberFormat="1" applyFont="1" applyFill="1"/>
    <xf numFmtId="168" fontId="5" fillId="0" borderId="0" xfId="2" applyNumberFormat="1" applyFont="1" applyBorder="1"/>
    <xf numFmtId="168" fontId="5" fillId="0" borderId="0" xfId="2" applyNumberFormat="1" applyFont="1" applyAlignment="1">
      <alignment horizontal="center"/>
    </xf>
    <xf numFmtId="165" fontId="0" fillId="0" borderId="0" xfId="1" applyNumberFormat="1" applyFont="1"/>
    <xf numFmtId="42" fontId="0" fillId="0" borderId="0" xfId="0" applyNumberFormat="1"/>
    <xf numFmtId="0" fontId="13" fillId="0" borderId="0" xfId="0" applyFont="1" applyAlignment="1">
      <alignment horizontal="center"/>
    </xf>
    <xf numFmtId="168" fontId="6" fillId="0" borderId="0" xfId="2" applyNumberFormat="1" applyFont="1" applyAlignment="1">
      <alignment horizontal="center"/>
    </xf>
    <xf numFmtId="0" fontId="5" fillId="2" borderId="0" xfId="0" applyFont="1" applyFill="1" applyBorder="1" applyAlignment="1">
      <alignment horizontal="left"/>
    </xf>
    <xf numFmtId="0" fontId="0" fillId="2" borderId="0" xfId="0" applyFill="1" applyAlignment="1">
      <alignment horizontal="left"/>
    </xf>
    <xf numFmtId="0" fontId="4" fillId="2" borderId="0" xfId="0" applyFont="1" applyFill="1" applyBorder="1" applyAlignment="1">
      <alignment horizontal="left"/>
    </xf>
    <xf numFmtId="0" fontId="0" fillId="2" borderId="0" xfId="0" applyFill="1"/>
    <xf numFmtId="0" fontId="18" fillId="2" borderId="0" xfId="0" applyFont="1" applyFill="1"/>
    <xf numFmtId="0" fontId="17" fillId="2" borderId="0" xfId="19" applyFill="1"/>
    <xf numFmtId="168" fontId="0" fillId="0" borderId="0" xfId="0" applyNumberFormat="1"/>
    <xf numFmtId="0" fontId="0" fillId="2" borderId="0" xfId="0" applyFont="1" applyFill="1" applyBorder="1" applyAlignment="1">
      <alignment horizontal="left"/>
    </xf>
    <xf numFmtId="167" fontId="0" fillId="0" borderId="0" xfId="0" applyNumberFormat="1" applyBorder="1"/>
    <xf numFmtId="9" fontId="5" fillId="0" borderId="0" xfId="0" applyNumberFormat="1" applyFont="1"/>
    <xf numFmtId="0" fontId="0" fillId="0" borderId="0" xfId="0" applyFont="1" applyFill="1"/>
    <xf numFmtId="0" fontId="20" fillId="0" borderId="0" xfId="0" applyFont="1"/>
    <xf numFmtId="14" fontId="0" fillId="0" borderId="0" xfId="0" applyNumberFormat="1"/>
    <xf numFmtId="170" fontId="4" fillId="0" borderId="0" xfId="0" applyNumberFormat="1" applyFont="1" applyFill="1" applyBorder="1" applyAlignment="1">
      <alignment horizontal="right"/>
    </xf>
    <xf numFmtId="168" fontId="16" fillId="0" borderId="0" xfId="2" applyNumberFormat="1" applyFont="1" applyFill="1"/>
    <xf numFmtId="44" fontId="0" fillId="0" borderId="0" xfId="2" applyFont="1"/>
    <xf numFmtId="6" fontId="0" fillId="0" borderId="0" xfId="0" applyNumberFormat="1" applyAlignment="1">
      <alignment horizontal="left"/>
    </xf>
    <xf numFmtId="0" fontId="5" fillId="0" borderId="0" xfId="0" applyFont="1" applyFill="1"/>
    <xf numFmtId="0" fontId="5" fillId="0" borderId="0" xfId="0" applyFont="1" applyAlignment="1">
      <alignment horizontal="left"/>
    </xf>
    <xf numFmtId="44" fontId="4" fillId="5" borderId="0" xfId="2" applyFont="1" applyFill="1" applyBorder="1" applyAlignment="1">
      <alignment horizontal="right"/>
    </xf>
    <xf numFmtId="0" fontId="4" fillId="0" borderId="3" xfId="0" applyFont="1" applyFill="1" applyBorder="1" applyAlignment="1">
      <alignment horizontal="left"/>
    </xf>
    <xf numFmtId="0" fontId="0" fillId="2" borderId="0" xfId="0" quotePrefix="1" applyFill="1" applyAlignment="1"/>
    <xf numFmtId="0" fontId="0" fillId="2" borderId="0" xfId="0" applyFill="1" applyAlignment="1"/>
    <xf numFmtId="44" fontId="0" fillId="0" borderId="0" xfId="0" applyNumberFormat="1"/>
    <xf numFmtId="0" fontId="5" fillId="0" borderId="3" xfId="0" applyFont="1" applyBorder="1"/>
    <xf numFmtId="164" fontId="5" fillId="0" borderId="4" xfId="0" applyNumberFormat="1" applyFont="1" applyBorder="1"/>
    <xf numFmtId="164" fontId="5" fillId="0" borderId="5" xfId="0" applyNumberFormat="1" applyFont="1" applyBorder="1"/>
    <xf numFmtId="0" fontId="15" fillId="2" borderId="0" xfId="18" applyFill="1" applyBorder="1" applyAlignment="1">
      <alignment horizontal="left"/>
    </xf>
    <xf numFmtId="0" fontId="15" fillId="2" borderId="0" xfId="18" applyFill="1"/>
    <xf numFmtId="0" fontId="21" fillId="0" borderId="0" xfId="18" applyFont="1"/>
    <xf numFmtId="44" fontId="4" fillId="0" borderId="0" xfId="2" applyFont="1" applyFill="1" applyBorder="1" applyAlignment="1">
      <alignment horizontal="right"/>
    </xf>
    <xf numFmtId="44" fontId="0" fillId="0" borderId="0" xfId="2" applyFont="1" applyFill="1"/>
    <xf numFmtId="168" fontId="4" fillId="0" borderId="0" xfId="2" applyNumberFormat="1" applyFont="1" applyFill="1" applyBorder="1" applyAlignment="1">
      <alignment horizontal="right"/>
    </xf>
    <xf numFmtId="0" fontId="4" fillId="0" borderId="4" xfId="0" applyFont="1" applyFill="1" applyBorder="1" applyAlignment="1">
      <alignment horizontal="left"/>
    </xf>
    <xf numFmtId="9" fontId="4" fillId="5" borderId="0" xfId="2" applyNumberFormat="1" applyFont="1" applyFill="1" applyBorder="1" applyAlignment="1">
      <alignment horizontal="right"/>
    </xf>
    <xf numFmtId="44" fontId="0" fillId="2" borderId="0" xfId="2" applyFont="1" applyFill="1"/>
    <xf numFmtId="1" fontId="0" fillId="0" borderId="0" xfId="2" applyNumberFormat="1" applyFont="1"/>
    <xf numFmtId="0" fontId="0" fillId="2" borderId="0" xfId="0" applyFill="1" applyAlignment="1">
      <alignment horizontal="left" wrapText="1"/>
    </xf>
    <xf numFmtId="44" fontId="4" fillId="0" borderId="0" xfId="2" applyFont="1" applyFill="1" applyBorder="1" applyAlignment="1">
      <alignment horizontal="left"/>
    </xf>
    <xf numFmtId="0" fontId="0" fillId="0" borderId="3" xfId="0" applyFont="1" applyFill="1" applyBorder="1" applyAlignment="1">
      <alignment horizontal="left"/>
    </xf>
    <xf numFmtId="44" fontId="4" fillId="0" borderId="4" xfId="0" applyNumberFormat="1" applyFont="1" applyFill="1" applyBorder="1" applyAlignment="1">
      <alignment horizontal="right"/>
    </xf>
    <xf numFmtId="44" fontId="4" fillId="0" borderId="5" xfId="0" applyNumberFormat="1" applyFont="1" applyFill="1" applyBorder="1" applyAlignment="1">
      <alignment horizontal="right"/>
    </xf>
    <xf numFmtId="168" fontId="5" fillId="0" borderId="4" xfId="0" applyNumberFormat="1" applyFont="1" applyBorder="1"/>
    <xf numFmtId="0" fontId="0" fillId="0" borderId="6" xfId="0" applyBorder="1"/>
    <xf numFmtId="168" fontId="0" fillId="0" borderId="6" xfId="2" applyNumberFormat="1" applyFont="1" applyBorder="1"/>
    <xf numFmtId="9" fontId="0" fillId="5" borderId="0" xfId="0" applyNumberFormat="1" applyFill="1"/>
    <xf numFmtId="0" fontId="5" fillId="0" borderId="0" xfId="0" applyFont="1" applyAlignment="1">
      <alignment horizontal="center"/>
    </xf>
    <xf numFmtId="0" fontId="5" fillId="0" borderId="0" xfId="0" applyFont="1" applyBorder="1"/>
    <xf numFmtId="0" fontId="23" fillId="0" borderId="0" xfId="0" applyFont="1" applyFill="1" applyAlignment="1">
      <alignment horizontal="left"/>
    </xf>
    <xf numFmtId="0" fontId="23" fillId="0" borderId="0" xfId="0" applyFont="1" applyFill="1" applyBorder="1" applyAlignment="1">
      <alignment horizontal="center"/>
    </xf>
    <xf numFmtId="9" fontId="23" fillId="0" borderId="0" xfId="0" applyNumberFormat="1" applyFont="1" applyFill="1" applyAlignment="1">
      <alignment horizontal="center"/>
    </xf>
    <xf numFmtId="44" fontId="23" fillId="0" borderId="0" xfId="2" applyFont="1" applyFill="1" applyBorder="1" applyAlignment="1">
      <alignment horizontal="left"/>
    </xf>
    <xf numFmtId="9" fontId="23" fillId="0" borderId="0" xfId="3" applyFont="1" applyFill="1" applyBorder="1" applyAlignment="1">
      <alignment horizontal="left"/>
    </xf>
    <xf numFmtId="0" fontId="23" fillId="0" borderId="0" xfId="0" applyFont="1" applyFill="1" applyBorder="1" applyAlignment="1">
      <alignment horizontal="left"/>
    </xf>
    <xf numFmtId="165" fontId="23" fillId="0" borderId="0" xfId="1" applyNumberFormat="1" applyFont="1" applyFill="1" applyBorder="1" applyAlignment="1">
      <alignment horizontal="left"/>
    </xf>
    <xf numFmtId="44" fontId="23" fillId="5" borderId="0" xfId="2" applyFont="1" applyFill="1" applyBorder="1" applyAlignment="1">
      <alignment horizontal="left"/>
    </xf>
    <xf numFmtId="168" fontId="23" fillId="0" borderId="0" xfId="0" applyNumberFormat="1" applyFont="1" applyFill="1" applyAlignment="1">
      <alignment horizontal="left"/>
    </xf>
    <xf numFmtId="170" fontId="23" fillId="0" borderId="0" xfId="0" applyNumberFormat="1" applyFont="1" applyFill="1" applyBorder="1" applyAlignment="1">
      <alignment horizontal="left"/>
    </xf>
    <xf numFmtId="0" fontId="23" fillId="0" borderId="4" xfId="0" applyFont="1" applyFill="1" applyBorder="1" applyAlignment="1">
      <alignment horizontal="left"/>
    </xf>
    <xf numFmtId="165" fontId="23" fillId="0" borderId="4" xfId="1" applyNumberFormat="1" applyFont="1" applyFill="1" applyBorder="1" applyAlignment="1">
      <alignment horizontal="left"/>
    </xf>
    <xf numFmtId="0" fontId="24" fillId="0" borderId="0" xfId="0" applyFont="1" applyFill="1" applyAlignment="1">
      <alignment horizontal="left"/>
    </xf>
    <xf numFmtId="0" fontId="23" fillId="0" borderId="0" xfId="0" applyFont="1" applyFill="1"/>
    <xf numFmtId="44" fontId="23" fillId="0" borderId="0" xfId="2" applyFont="1" applyFill="1" applyBorder="1" applyAlignment="1">
      <alignment horizontal="right"/>
    </xf>
    <xf numFmtId="166" fontId="23" fillId="0" borderId="0" xfId="3" applyNumberFormat="1" applyFont="1" applyFill="1" applyBorder="1" applyAlignment="1">
      <alignment horizontal="right"/>
    </xf>
    <xf numFmtId="0" fontId="23" fillId="0" borderId="0" xfId="0" applyFont="1" applyFill="1" applyBorder="1" applyAlignment="1">
      <alignment horizontal="right"/>
    </xf>
    <xf numFmtId="9" fontId="23" fillId="0" borderId="0" xfId="3" applyFont="1" applyFill="1" applyBorder="1" applyAlignment="1">
      <alignment horizontal="right"/>
    </xf>
    <xf numFmtId="165" fontId="23" fillId="0" borderId="0" xfId="1" applyNumberFormat="1" applyFont="1" applyFill="1" applyBorder="1" applyAlignment="1">
      <alignment horizontal="right"/>
    </xf>
    <xf numFmtId="44" fontId="23" fillId="5" borderId="0" xfId="2" applyFont="1" applyFill="1" applyBorder="1" applyAlignment="1">
      <alignment horizontal="right"/>
    </xf>
    <xf numFmtId="9" fontId="23" fillId="0" borderId="0" xfId="2" applyNumberFormat="1" applyFont="1" applyFill="1" applyBorder="1" applyAlignment="1">
      <alignment horizontal="right"/>
    </xf>
    <xf numFmtId="0" fontId="23" fillId="0" borderId="4" xfId="0" applyFont="1" applyFill="1" applyBorder="1" applyAlignment="1">
      <alignment horizontal="right"/>
    </xf>
    <xf numFmtId="168" fontId="23" fillId="0" borderId="0" xfId="0" applyNumberFormat="1" applyFont="1" applyFill="1"/>
    <xf numFmtId="0" fontId="24" fillId="0" borderId="0" xfId="0" applyFont="1" applyFill="1"/>
    <xf numFmtId="0" fontId="23" fillId="0" borderId="0" xfId="0" applyFont="1" applyFill="1" applyAlignment="1"/>
    <xf numFmtId="44" fontId="23" fillId="0" borderId="0" xfId="2" applyFont="1" applyFill="1" applyBorder="1" applyAlignment="1"/>
    <xf numFmtId="9" fontId="23" fillId="0" borderId="0" xfId="3" applyFont="1" applyFill="1" applyBorder="1" applyAlignment="1"/>
    <xf numFmtId="0" fontId="23" fillId="0" borderId="0" xfId="0" applyFont="1" applyFill="1" applyBorder="1" applyAlignment="1"/>
    <xf numFmtId="165" fontId="23" fillId="0" borderId="0" xfId="1" applyNumberFormat="1" applyFont="1" applyFill="1" applyBorder="1" applyAlignment="1"/>
    <xf numFmtId="44" fontId="23" fillId="0" borderId="0" xfId="2" applyFont="1" applyFill="1" applyAlignment="1"/>
    <xf numFmtId="165" fontId="23" fillId="0" borderId="0" xfId="1" applyNumberFormat="1" applyFont="1" applyFill="1" applyAlignment="1"/>
    <xf numFmtId="166" fontId="23" fillId="0" borderId="0" xfId="3" applyNumberFormat="1" applyFont="1" applyFill="1" applyBorder="1" applyAlignment="1">
      <alignment horizontal="left"/>
    </xf>
    <xf numFmtId="0" fontId="23" fillId="0" borderId="0" xfId="3" applyNumberFormat="1" applyFont="1" applyFill="1" applyBorder="1" applyAlignment="1">
      <alignment horizontal="left"/>
    </xf>
    <xf numFmtId="44" fontId="23" fillId="0" borderId="0" xfId="0" applyNumberFormat="1" applyFont="1" applyFill="1" applyAlignment="1"/>
    <xf numFmtId="168" fontId="23" fillId="0" borderId="0" xfId="0" applyNumberFormat="1" applyFont="1" applyFill="1" applyBorder="1" applyAlignment="1"/>
    <xf numFmtId="168" fontId="23" fillId="0" borderId="0" xfId="0" applyNumberFormat="1" applyFont="1" applyFill="1" applyAlignment="1"/>
    <xf numFmtId="169" fontId="23" fillId="0" borderId="0" xfId="2" applyNumberFormat="1" applyFont="1" applyFill="1" applyAlignment="1"/>
    <xf numFmtId="0" fontId="24" fillId="0" borderId="0" xfId="0" applyFont="1" applyFill="1" applyAlignment="1"/>
    <xf numFmtId="0" fontId="15" fillId="0" borderId="0" xfId="18" applyFill="1"/>
    <xf numFmtId="165" fontId="0" fillId="5" borderId="0" xfId="1" applyNumberFormat="1" applyFont="1" applyFill="1"/>
    <xf numFmtId="44" fontId="0" fillId="5" borderId="0" xfId="2" applyFont="1" applyFill="1"/>
    <xf numFmtId="9" fontId="0" fillId="5" borderId="0" xfId="3" applyFont="1" applyFill="1"/>
    <xf numFmtId="0" fontId="0" fillId="5" borderId="0" xfId="1" applyNumberFormat="1" applyFont="1" applyFill="1"/>
    <xf numFmtId="9" fontId="0" fillId="5" borderId="0" xfId="1" applyNumberFormat="1" applyFont="1" applyFill="1"/>
    <xf numFmtId="44" fontId="4" fillId="0" borderId="0" xfId="0" applyNumberFormat="1" applyFont="1" applyFill="1" applyBorder="1" applyAlignment="1">
      <alignment horizontal="right"/>
    </xf>
    <xf numFmtId="44" fontId="0" fillId="0" borderId="0" xfId="2" applyFont="1" applyBorder="1"/>
    <xf numFmtId="168" fontId="4" fillId="6" borderId="0" xfId="2" applyNumberFormat="1" applyFont="1" applyFill="1" applyBorder="1" applyAlignment="1">
      <alignment horizontal="right"/>
    </xf>
    <xf numFmtId="9" fontId="4" fillId="6" borderId="0" xfId="3" applyFont="1" applyFill="1" applyBorder="1" applyAlignment="1">
      <alignment horizontal="right"/>
    </xf>
    <xf numFmtId="44" fontId="0" fillId="0" borderId="0" xfId="0" applyNumberFormat="1" applyFill="1"/>
    <xf numFmtId="2" fontId="0" fillId="5" borderId="0" xfId="0" applyNumberFormat="1" applyFill="1"/>
    <xf numFmtId="0" fontId="4" fillId="5" borderId="0" xfId="3" applyNumberFormat="1" applyFont="1" applyFill="1" applyBorder="1" applyAlignment="1">
      <alignment horizontal="right"/>
    </xf>
    <xf numFmtId="9" fontId="0" fillId="5" borderId="0" xfId="2" applyNumberFormat="1" applyFont="1" applyFill="1"/>
    <xf numFmtId="168" fontId="16" fillId="5" borderId="0" xfId="2" applyNumberFormat="1" applyFont="1" applyFill="1"/>
    <xf numFmtId="168" fontId="16" fillId="5" borderId="0" xfId="2" applyNumberFormat="1" applyFont="1" applyFill="1" applyAlignment="1">
      <alignment horizontal="left"/>
    </xf>
    <xf numFmtId="0" fontId="27" fillId="5" borderId="0" xfId="0" applyFont="1" applyFill="1" applyAlignment="1">
      <alignment horizontal="left"/>
    </xf>
    <xf numFmtId="0" fontId="23" fillId="5" borderId="0" xfId="0" applyFont="1" applyFill="1"/>
    <xf numFmtId="0" fontId="5" fillId="5" borderId="0" xfId="0" applyFont="1" applyFill="1"/>
    <xf numFmtId="44" fontId="5" fillId="0" borderId="0" xfId="2" applyFont="1"/>
    <xf numFmtId="44" fontId="4" fillId="0" borderId="4" xfId="2" applyFont="1" applyFill="1" applyBorder="1" applyAlignment="1">
      <alignment horizontal="right"/>
    </xf>
    <xf numFmtId="1" fontId="0" fillId="5" borderId="0" xfId="2" applyNumberFormat="1" applyFont="1" applyFill="1"/>
    <xf numFmtId="0" fontId="26" fillId="2" borderId="0" xfId="0" applyFont="1" applyFill="1" applyBorder="1"/>
    <xf numFmtId="0" fontId="0" fillId="2" borderId="0" xfId="0" applyFill="1" applyBorder="1"/>
    <xf numFmtId="0" fontId="28" fillId="2" borderId="0" xfId="0" applyFont="1" applyFill="1" applyBorder="1"/>
    <xf numFmtId="0" fontId="26" fillId="2" borderId="0" xfId="0" applyFont="1" applyFill="1"/>
    <xf numFmtId="0" fontId="30" fillId="2" borderId="0" xfId="0" applyFont="1" applyFill="1" applyBorder="1" applyAlignment="1"/>
    <xf numFmtId="9" fontId="30" fillId="2" borderId="0" xfId="0" applyNumberFormat="1" applyFont="1" applyFill="1" applyBorder="1"/>
    <xf numFmtId="164" fontId="26" fillId="2" borderId="0" xfId="2" applyNumberFormat="1" applyFont="1" applyFill="1" applyBorder="1"/>
    <xf numFmtId="0" fontId="30" fillId="2" borderId="0" xfId="0" applyFont="1" applyFill="1" applyBorder="1" applyAlignment="1">
      <alignment wrapText="1"/>
    </xf>
    <xf numFmtId="171" fontId="30" fillId="2" borderId="0" xfId="0" applyNumberFormat="1" applyFont="1" applyFill="1" applyAlignment="1">
      <alignment horizontal="left"/>
    </xf>
    <xf numFmtId="0" fontId="30" fillId="2" borderId="0" xfId="0" applyFont="1" applyFill="1"/>
    <xf numFmtId="9" fontId="30" fillId="2" borderId="0" xfId="0" applyNumberFormat="1" applyFont="1" applyFill="1" applyAlignment="1">
      <alignment horizontal="left"/>
    </xf>
    <xf numFmtId="9" fontId="30" fillId="2" borderId="0" xfId="0" applyNumberFormat="1" applyFont="1" applyFill="1"/>
    <xf numFmtId="0" fontId="32" fillId="2" borderId="0" xfId="0" applyFont="1" applyFill="1" applyBorder="1"/>
    <xf numFmtId="0" fontId="33" fillId="2" borderId="6" xfId="0" applyFont="1" applyFill="1" applyBorder="1"/>
    <xf numFmtId="171" fontId="33" fillId="2" borderId="6" xfId="0" applyNumberFormat="1" applyFont="1" applyFill="1" applyBorder="1" applyAlignment="1">
      <alignment horizontal="left"/>
    </xf>
    <xf numFmtId="0" fontId="16" fillId="0" borderId="0" xfId="7" applyFont="1" applyFill="1"/>
    <xf numFmtId="15" fontId="16" fillId="0" borderId="0" xfId="7" applyNumberFormat="1" applyFont="1" applyFill="1" applyAlignment="1">
      <alignment horizontal="left"/>
    </xf>
    <xf numFmtId="0" fontId="16" fillId="0" borderId="0" xfId="0" applyFont="1"/>
    <xf numFmtId="0" fontId="22" fillId="12" borderId="0" xfId="18" applyFont="1" applyFill="1" applyBorder="1" applyAlignment="1">
      <alignment horizontal="left"/>
    </xf>
    <xf numFmtId="0" fontId="31" fillId="12" borderId="0" xfId="18" applyFont="1" applyFill="1" applyBorder="1" applyAlignment="1">
      <alignment horizontal="left"/>
    </xf>
    <xf numFmtId="0" fontId="31" fillId="11" borderId="0" xfId="0" applyFont="1" applyFill="1" applyBorder="1" applyAlignment="1">
      <alignment horizontal="left"/>
    </xf>
    <xf numFmtId="0" fontId="31" fillId="11" borderId="0" xfId="0" applyFont="1" applyFill="1" applyBorder="1" applyAlignment="1">
      <alignment horizontal="center"/>
    </xf>
    <xf numFmtId="0" fontId="34" fillId="11" borderId="0" xfId="0" applyFont="1" applyFill="1" applyBorder="1" applyAlignment="1">
      <alignment horizontal="left"/>
    </xf>
    <xf numFmtId="0" fontId="25" fillId="12" borderId="0" xfId="18" applyFont="1" applyFill="1" applyBorder="1" applyAlignment="1">
      <alignment horizontal="left"/>
    </xf>
    <xf numFmtId="165" fontId="4" fillId="0" borderId="0" xfId="0" applyNumberFormat="1" applyFont="1" applyFill="1" applyBorder="1" applyAlignment="1">
      <alignment horizontal="right"/>
    </xf>
    <xf numFmtId="0" fontId="4" fillId="6" borderId="0" xfId="0" applyFont="1" applyFill="1" applyBorder="1" applyAlignment="1">
      <alignment horizontal="right"/>
    </xf>
    <xf numFmtId="9" fontId="4" fillId="5" borderId="0" xfId="3" applyNumberFormat="1" applyFont="1" applyFill="1" applyBorder="1" applyAlignment="1">
      <alignment horizontal="right"/>
    </xf>
    <xf numFmtId="9" fontId="23" fillId="0" borderId="0" xfId="3" applyNumberFormat="1" applyFont="1" applyFill="1" applyBorder="1" applyAlignment="1">
      <alignment horizontal="right"/>
    </xf>
    <xf numFmtId="166" fontId="4" fillId="0" borderId="0" xfId="3" applyNumberFormat="1" applyFont="1" applyFill="1" applyBorder="1" applyAlignment="1">
      <alignment horizontal="right"/>
    </xf>
    <xf numFmtId="0" fontId="23" fillId="0" borderId="0" xfId="3" applyNumberFormat="1" applyFont="1" applyFill="1" applyBorder="1" applyAlignment="1">
      <alignment horizontal="right"/>
    </xf>
    <xf numFmtId="0" fontId="4" fillId="0" borderId="0" xfId="3" applyNumberFormat="1" applyFont="1" applyFill="1" applyBorder="1" applyAlignment="1">
      <alignment horizontal="right"/>
    </xf>
    <xf numFmtId="166" fontId="23" fillId="0" borderId="0" xfId="0" applyNumberFormat="1" applyFont="1" applyBorder="1" applyAlignment="1">
      <alignment horizontal="left"/>
    </xf>
    <xf numFmtId="9" fontId="23" fillId="6" borderId="0" xfId="3" applyFont="1" applyFill="1" applyBorder="1" applyAlignment="1">
      <alignment horizontal="left"/>
    </xf>
    <xf numFmtId="9" fontId="23" fillId="6" borderId="0" xfId="3" applyFont="1" applyFill="1" applyBorder="1" applyAlignment="1">
      <alignment horizontal="right"/>
    </xf>
    <xf numFmtId="44" fontId="0" fillId="0" borderId="0" xfId="0" applyNumberFormat="1" applyBorder="1"/>
    <xf numFmtId="44" fontId="23" fillId="0" borderId="0" xfId="0" applyNumberFormat="1" applyFont="1" applyFill="1" applyBorder="1" applyAlignment="1"/>
    <xf numFmtId="0" fontId="35" fillId="0" borderId="0" xfId="20" applyFont="1" applyBorder="1"/>
    <xf numFmtId="0" fontId="29" fillId="0" borderId="0" xfId="0" applyFont="1" applyAlignment="1">
      <alignment horizontal="left"/>
    </xf>
    <xf numFmtId="0" fontId="29" fillId="0" borderId="0" xfId="0" applyFont="1" applyAlignment="1">
      <alignment horizontal="center"/>
    </xf>
    <xf numFmtId="0" fontId="29" fillId="0" borderId="0" xfId="0" applyFont="1"/>
    <xf numFmtId="0" fontId="36" fillId="11" borderId="0" xfId="0" applyFont="1" applyFill="1" applyAlignment="1">
      <alignment horizontal="left"/>
    </xf>
    <xf numFmtId="0" fontId="36" fillId="11" borderId="0" xfId="0" applyFont="1" applyFill="1" applyAlignment="1">
      <alignment horizontal="center"/>
    </xf>
    <xf numFmtId="0" fontId="36" fillId="11" borderId="0" xfId="0" applyFont="1" applyFill="1"/>
    <xf numFmtId="44" fontId="4" fillId="0" borderId="0" xfId="2" applyAlignment="1">
      <alignment horizontal="right"/>
    </xf>
    <xf numFmtId="44" fontId="23" fillId="0" borderId="0" xfId="2" applyFont="1" applyAlignment="1">
      <alignment horizontal="left"/>
    </xf>
    <xf numFmtId="44" fontId="4" fillId="5" borderId="0" xfId="2" applyFill="1" applyAlignment="1">
      <alignment horizontal="right"/>
    </xf>
    <xf numFmtId="44" fontId="23" fillId="0" borderId="0" xfId="2" applyFont="1" applyAlignment="1">
      <alignment horizontal="right"/>
    </xf>
    <xf numFmtId="44" fontId="23" fillId="0" borderId="0" xfId="2" applyFont="1"/>
    <xf numFmtId="168" fontId="4" fillId="0" borderId="0" xfId="0" applyNumberFormat="1" applyFont="1" applyAlignment="1">
      <alignment horizontal="center"/>
    </xf>
    <xf numFmtId="0" fontId="4" fillId="6" borderId="0" xfId="0" applyFont="1" applyFill="1" applyAlignment="1">
      <alignment horizontal="right"/>
    </xf>
    <xf numFmtId="0" fontId="23" fillId="0" borderId="0" xfId="0" applyFont="1" applyAlignment="1">
      <alignment horizontal="left"/>
    </xf>
    <xf numFmtId="0" fontId="4" fillId="5" borderId="0" xfId="0" applyFont="1" applyFill="1" applyAlignment="1">
      <alignment horizontal="right"/>
    </xf>
    <xf numFmtId="0" fontId="23" fillId="0" borderId="0" xfId="0" applyFont="1" applyAlignment="1">
      <alignment horizontal="right"/>
    </xf>
    <xf numFmtId="0" fontId="23" fillId="0" borderId="0" xfId="0" applyFont="1"/>
    <xf numFmtId="0" fontId="4" fillId="0" borderId="0" xfId="0" applyFont="1" applyAlignment="1">
      <alignment horizontal="center"/>
    </xf>
    <xf numFmtId="0" fontId="4" fillId="0" borderId="0" xfId="2" applyNumberFormat="1" applyAlignment="1">
      <alignment horizontal="right"/>
    </xf>
    <xf numFmtId="0" fontId="23" fillId="0" borderId="0" xfId="2" applyNumberFormat="1" applyFont="1" applyAlignment="1">
      <alignment horizontal="left"/>
    </xf>
    <xf numFmtId="165" fontId="4" fillId="5" borderId="0" xfId="1" applyNumberFormat="1" applyFill="1" applyAlignment="1">
      <alignment horizontal="right"/>
    </xf>
    <xf numFmtId="165" fontId="23" fillId="0" borderId="0" xfId="1" applyNumberFormat="1" applyFont="1" applyAlignment="1">
      <alignment horizontal="right"/>
    </xf>
    <xf numFmtId="0" fontId="23" fillId="0" borderId="0" xfId="2" applyNumberFormat="1" applyFont="1"/>
    <xf numFmtId="166" fontId="4" fillId="0" borderId="0" xfId="3" applyNumberFormat="1" applyAlignment="1">
      <alignment horizontal="right"/>
    </xf>
    <xf numFmtId="166" fontId="23" fillId="0" borderId="0" xfId="3" applyNumberFormat="1" applyFont="1" applyAlignment="1">
      <alignment horizontal="left"/>
    </xf>
    <xf numFmtId="166" fontId="4" fillId="5" borderId="0" xfId="3" applyNumberFormat="1" applyFill="1" applyAlignment="1">
      <alignment horizontal="right"/>
    </xf>
    <xf numFmtId="166" fontId="23" fillId="0" borderId="0" xfId="3" applyNumberFormat="1" applyFont="1" applyAlignment="1">
      <alignment horizontal="right"/>
    </xf>
    <xf numFmtId="166" fontId="23" fillId="0" borderId="0" xfId="3" applyNumberFormat="1" applyFont="1"/>
    <xf numFmtId="9" fontId="4" fillId="0" borderId="0" xfId="3" applyAlignment="1">
      <alignment horizontal="right"/>
    </xf>
    <xf numFmtId="9" fontId="23" fillId="0" borderId="0" xfId="3" applyFont="1" applyAlignment="1">
      <alignment horizontal="left"/>
    </xf>
    <xf numFmtId="9" fontId="4" fillId="5" borderId="0" xfId="3" applyFill="1" applyAlignment="1">
      <alignment horizontal="right"/>
    </xf>
    <xf numFmtId="9" fontId="23" fillId="0" borderId="0" xfId="3" applyFont="1" applyAlignment="1">
      <alignment horizontal="right"/>
    </xf>
    <xf numFmtId="9" fontId="23" fillId="0" borderId="0" xfId="3" applyFont="1"/>
    <xf numFmtId="165" fontId="23" fillId="0" borderId="0" xfId="3" applyNumberFormat="1" applyFont="1" applyAlignment="1">
      <alignment horizontal="left"/>
    </xf>
    <xf numFmtId="165" fontId="23" fillId="0" borderId="0" xfId="3" applyNumberFormat="1" applyFont="1" applyAlignment="1">
      <alignment horizontal="right"/>
    </xf>
    <xf numFmtId="165" fontId="23" fillId="0" borderId="0" xfId="3" applyNumberFormat="1" applyFont="1"/>
    <xf numFmtId="168" fontId="4" fillId="5" borderId="0" xfId="2" applyNumberFormat="1" applyFont="1" applyFill="1" applyBorder="1" applyAlignment="1">
      <alignment horizontal="right"/>
    </xf>
    <xf numFmtId="168" fontId="0" fillId="14" borderId="0" xfId="0" applyNumberFormat="1" applyFill="1" applyAlignment="1">
      <alignment horizontal="right"/>
    </xf>
    <xf numFmtId="165" fontId="4" fillId="5" borderId="0" xfId="3" applyNumberFormat="1" applyFill="1" applyAlignment="1">
      <alignment horizontal="right"/>
    </xf>
    <xf numFmtId="168" fontId="0" fillId="0" borderId="0" xfId="0" applyNumberFormat="1" applyFill="1"/>
    <xf numFmtId="168" fontId="0" fillId="0" borderId="0" xfId="2" applyNumberFormat="1" applyFont="1" applyBorder="1" applyAlignment="1">
      <alignment horizontal="right"/>
    </xf>
    <xf numFmtId="0" fontId="34" fillId="11" borderId="0" xfId="0" applyFont="1" applyFill="1" applyBorder="1" applyAlignment="1">
      <alignment horizontal="center"/>
    </xf>
    <xf numFmtId="2" fontId="4" fillId="6" borderId="0" xfId="3" applyNumberFormat="1" applyFill="1" applyAlignment="1">
      <alignment horizontal="right"/>
    </xf>
    <xf numFmtId="9" fontId="4" fillId="6" borderId="0" xfId="3" applyFill="1" applyAlignment="1">
      <alignment horizontal="right"/>
    </xf>
    <xf numFmtId="168" fontId="0" fillId="5" borderId="0" xfId="2" applyNumberFormat="1" applyFont="1" applyFill="1"/>
    <xf numFmtId="9" fontId="0" fillId="0" borderId="0" xfId="3" applyFont="1" applyAlignment="1">
      <alignment horizontal="right"/>
    </xf>
    <xf numFmtId="0" fontId="0" fillId="5" borderId="0" xfId="0" applyFill="1" applyBorder="1" applyAlignment="1">
      <alignment horizontal="center"/>
    </xf>
    <xf numFmtId="0" fontId="10" fillId="0" borderId="0" xfId="0" applyFont="1" applyFill="1"/>
    <xf numFmtId="0" fontId="38" fillId="0" borderId="0" xfId="18" applyFont="1" applyFill="1"/>
    <xf numFmtId="2" fontId="10" fillId="0" borderId="0" xfId="0" applyNumberFormat="1" applyFont="1" applyFill="1"/>
    <xf numFmtId="9" fontId="10" fillId="0" borderId="0" xfId="0" applyNumberFormat="1" applyFont="1" applyFill="1"/>
    <xf numFmtId="0" fontId="39" fillId="0" borderId="0" xfId="0" applyFont="1" applyFill="1"/>
    <xf numFmtId="0" fontId="39" fillId="0" borderId="0" xfId="0" applyFont="1" applyFill="1" applyAlignment="1">
      <alignment horizontal="left"/>
    </xf>
    <xf numFmtId="0" fontId="40" fillId="0" borderId="0" xfId="18" applyFont="1" applyFill="1"/>
    <xf numFmtId="0" fontId="39" fillId="6" borderId="0" xfId="0" applyFont="1" applyFill="1"/>
    <xf numFmtId="0" fontId="39" fillId="6" borderId="0" xfId="0" applyFont="1" applyFill="1" applyAlignment="1">
      <alignment horizontal="left"/>
    </xf>
    <xf numFmtId="2" fontId="39" fillId="6" borderId="0" xfId="0" applyNumberFormat="1" applyFont="1" applyFill="1"/>
    <xf numFmtId="9" fontId="39" fillId="6" borderId="0" xfId="0" applyNumberFormat="1" applyFont="1" applyFill="1"/>
    <xf numFmtId="0" fontId="31" fillId="0" borderId="0" xfId="0" applyFont="1" applyFill="1" applyBorder="1" applyAlignment="1">
      <alignment horizontal="left"/>
    </xf>
    <xf numFmtId="0" fontId="31" fillId="0" borderId="0" xfId="0" applyFont="1" applyFill="1" applyBorder="1" applyAlignment="1">
      <alignment horizontal="center"/>
    </xf>
    <xf numFmtId="0" fontId="34" fillId="0" borderId="0" xfId="0" applyFont="1" applyFill="1" applyBorder="1" applyAlignment="1">
      <alignment horizontal="left"/>
    </xf>
    <xf numFmtId="9" fontId="0" fillId="5" borderId="0" xfId="0" applyNumberFormat="1" applyFill="1" applyAlignment="1">
      <alignment horizontal="left" indent="4"/>
    </xf>
    <xf numFmtId="0" fontId="41" fillId="15" borderId="0" xfId="0" applyFont="1" applyFill="1"/>
    <xf numFmtId="0" fontId="0" fillId="0" borderId="0" xfId="0" applyAlignment="1">
      <alignment horizontal="center"/>
    </xf>
    <xf numFmtId="0" fontId="42" fillId="0" borderId="0" xfId="0" applyFont="1"/>
    <xf numFmtId="168" fontId="5" fillId="0" borderId="0" xfId="2" applyNumberFormat="1" applyFont="1" applyAlignment="1">
      <alignment horizontal="right"/>
    </xf>
    <xf numFmtId="9" fontId="0" fillId="0" borderId="0" xfId="3" applyFont="1" applyAlignment="1">
      <alignment horizontal="center"/>
    </xf>
    <xf numFmtId="168" fontId="0" fillId="0" borderId="0" xfId="2" applyNumberFormat="1" applyFont="1" applyAlignment="1">
      <alignment horizontal="right"/>
    </xf>
    <xf numFmtId="0" fontId="15" fillId="0" borderId="0" xfId="18" applyBorder="1"/>
    <xf numFmtId="0" fontId="16" fillId="0" borderId="0" xfId="0" applyFont="1" applyFill="1" applyBorder="1"/>
    <xf numFmtId="0" fontId="43" fillId="0" borderId="7" xfId="21" applyFont="1" applyFill="1"/>
    <xf numFmtId="168" fontId="43" fillId="0" borderId="7" xfId="21" applyNumberFormat="1" applyFont="1" applyFill="1"/>
    <xf numFmtId="44" fontId="43" fillId="0" borderId="7" xfId="21" applyNumberFormat="1" applyFont="1" applyFill="1"/>
    <xf numFmtId="0" fontId="16" fillId="0" borderId="0" xfId="0" applyFont="1" applyFill="1"/>
    <xf numFmtId="44" fontId="16" fillId="0" borderId="0" xfId="2" applyFont="1" applyFill="1"/>
    <xf numFmtId="0" fontId="11" fillId="0" borderId="0" xfId="0" applyFont="1" applyAlignment="1">
      <alignment horizontal="center" vertical="center" wrapText="1"/>
    </xf>
    <xf numFmtId="0" fontId="6" fillId="0" borderId="0" xfId="0" applyFont="1" applyAlignment="1">
      <alignment horizontal="left" wrapText="1"/>
    </xf>
    <xf numFmtId="0" fontId="0" fillId="2" borderId="0" xfId="0" applyFill="1" applyAlignment="1">
      <alignment horizontal="left" wrapText="1"/>
    </xf>
  </cellXfs>
  <cellStyles count="22">
    <cellStyle name="Calc" xfId="4" xr:uid="{00000000-0005-0000-0000-000000000000}"/>
    <cellStyle name="Calculation" xfId="21" builtinId="22"/>
    <cellStyle name="Comma" xfId="1" builtinId="3"/>
    <cellStyle name="Comma 2" xfId="10" xr:uid="{00000000-0005-0000-0000-000002000000}"/>
    <cellStyle name="Comma 3" xfId="13" xr:uid="{00000000-0005-0000-0000-000003000000}"/>
    <cellStyle name="Comma 4" xfId="17" xr:uid="{00000000-0005-0000-0000-000004000000}"/>
    <cellStyle name="Currency" xfId="2" builtinId="4"/>
    <cellStyle name="Explanatory Text" xfId="18" builtinId="53"/>
    <cellStyle name="Linked" xfId="5" xr:uid="{00000000-0005-0000-0000-000008000000}"/>
    <cellStyle name="Neutral" xfId="19" builtinId="28"/>
    <cellStyle name="Normal" xfId="0" builtinId="0"/>
    <cellStyle name="Normal 2" xfId="9" xr:uid="{00000000-0005-0000-0000-00000A000000}"/>
    <cellStyle name="Normal 2 2" xfId="12" xr:uid="{00000000-0005-0000-0000-00000B000000}"/>
    <cellStyle name="Normal 3" xfId="11" xr:uid="{00000000-0005-0000-0000-00000C000000}"/>
    <cellStyle name="Normal 4" xfId="16" xr:uid="{00000000-0005-0000-0000-00000D000000}"/>
    <cellStyle name="Percent" xfId="3" builtinId="5"/>
    <cellStyle name="Percent 2" xfId="14" xr:uid="{00000000-0005-0000-0000-00000F000000}"/>
    <cellStyle name="Percent 3" xfId="15" xr:uid="{00000000-0005-0000-0000-000010000000}"/>
    <cellStyle name="Placeholder" xfId="6" xr:uid="{00000000-0005-0000-0000-000011000000}"/>
    <cellStyle name="Temp" xfId="7" xr:uid="{00000000-0005-0000-0000-000012000000}"/>
    <cellStyle name="Title" xfId="20" builtinId="15"/>
    <cellStyle name="Value" xfId="8" xr:uid="{00000000-0005-0000-0000-000013000000}"/>
  </cellStyles>
  <dxfs count="0"/>
  <tableStyles count="0" defaultTableStyle="TableStyleMedium2" defaultPivotStyle="PivotStyleLight16"/>
  <colors>
    <mruColors>
      <color rgb="FF8C1514"/>
      <color rgb="FFEB9FC4"/>
      <color rgb="FFE66DA9"/>
      <color rgb="FF6CBDF4"/>
      <color rgb="FFFFE7FF"/>
      <color rgb="FF8064A2"/>
      <color rgb="FF8C1515"/>
      <color rgb="FF6BBEF4"/>
      <color rgb="FFD60C70"/>
      <color rgb="FF3BA7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cap="all" spc="120" normalizeH="0" baseline="0">
                <a:solidFill>
                  <a:schemeClr val="tx1">
                    <a:lumMod val="65000"/>
                    <a:lumOff val="35000"/>
                  </a:schemeClr>
                </a:solidFill>
                <a:latin typeface="Avenir Book" panose="02000503020000020003" pitchFamily="2" charset="0"/>
                <a:ea typeface="+mn-ea"/>
                <a:cs typeface="+mn-cs"/>
              </a:defRPr>
            </a:pPr>
            <a:r>
              <a:rPr lang="en-US" sz="2400" cap="none" baseline="0">
                <a:latin typeface="Avenir Book" panose="02000503020000020003" pitchFamily="2" charset="0"/>
              </a:rPr>
              <a:t>Program Comparison</a:t>
            </a:r>
            <a:br>
              <a:rPr lang="en-US" sz="1200" b="0" cap="none" baseline="0">
                <a:latin typeface="Avenir Book" panose="02000503020000020003" pitchFamily="2" charset="0"/>
              </a:rPr>
            </a:br>
            <a:r>
              <a:rPr lang="en-US" sz="1200" b="0" cap="none" baseline="0">
                <a:latin typeface="Avenir Book" panose="02000503020000020003" pitchFamily="2" charset="0"/>
              </a:rPr>
              <a:t>5 YEAR NET PRESENT VALUES</a:t>
            </a:r>
          </a:p>
        </c:rich>
      </c:tx>
      <c:overlay val="0"/>
      <c:spPr>
        <a:noFill/>
        <a:ln>
          <a:noFill/>
        </a:ln>
        <a:effectLst/>
      </c:spPr>
      <c:txPr>
        <a:bodyPr rot="0" spcFirstLastPara="1" vertOverflow="ellipsis" vert="horz" wrap="square" anchor="ctr" anchorCtr="1"/>
        <a:lstStyle/>
        <a:p>
          <a:pPr>
            <a:defRPr sz="2400" b="1" i="0" u="none" strike="noStrike" kern="1200" cap="all" spc="120" normalizeH="0" baseline="0">
              <a:solidFill>
                <a:schemeClr val="tx1">
                  <a:lumMod val="65000"/>
                  <a:lumOff val="35000"/>
                </a:schemeClr>
              </a:solidFill>
              <a:latin typeface="Avenir Book" panose="02000503020000020003" pitchFamily="2" charset="0"/>
              <a:ea typeface="+mn-ea"/>
              <a:cs typeface="+mn-cs"/>
            </a:defRPr>
          </a:pPr>
          <a:endParaRPr lang="en-US"/>
        </a:p>
      </c:txPr>
    </c:title>
    <c:autoTitleDeleted val="0"/>
    <c:plotArea>
      <c:layout>
        <c:manualLayout>
          <c:layoutTarget val="inner"/>
          <c:xMode val="edge"/>
          <c:yMode val="edge"/>
          <c:x val="9.4753338261318279E-2"/>
          <c:y val="0.23987238519947415"/>
          <c:w val="0.90524666173868196"/>
          <c:h val="0.67321098770410059"/>
        </c:manualLayout>
      </c:layout>
      <c:barChart>
        <c:barDir val="col"/>
        <c:grouping val="clustered"/>
        <c:varyColors val="0"/>
        <c:ser>
          <c:idx val="2"/>
          <c:order val="0"/>
          <c:tx>
            <c:strRef>
              <c:f>Tornado!$M$114</c:f>
              <c:strCache>
                <c:ptCount val="1"/>
                <c:pt idx="0">
                  <c:v>Benefits</c:v>
                </c:pt>
              </c:strCache>
            </c:strRef>
          </c:tx>
          <c:spPr>
            <a:solidFill>
              <a:srgbClr val="6BBEF4"/>
            </a:solidFill>
            <a:ln>
              <a:noFill/>
            </a:ln>
            <a:effectLst/>
          </c:spPr>
          <c:invertIfNegative val="0"/>
          <c:dLbls>
            <c:numFmt formatCode="&quot;$&quot;#,##0" sourceLinked="0"/>
            <c:spPr>
              <a:noFill/>
              <a:ln>
                <a:no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venir Book" panose="02000503020000020003"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Tornado!$I$115:$I$117</c:f>
              <c:strCache>
                <c:ptCount val="3"/>
                <c:pt idx="0">
                  <c:v>Pilot Program</c:v>
                </c:pt>
                <c:pt idx="1">
                  <c:v>Basic Program</c:v>
                </c:pt>
                <c:pt idx="2">
                  <c:v>Optimal Program</c:v>
                </c:pt>
              </c:strCache>
            </c:strRef>
          </c:cat>
          <c:val>
            <c:numRef>
              <c:f>Tornado!$M$115:$M$117</c:f>
              <c:numCache>
                <c:formatCode>_("$"* #,##0_);_("$"* \(#,##0\);_("$"* "-"??_);_(@_)</c:formatCode>
                <c:ptCount val="3"/>
                <c:pt idx="0">
                  <c:v>1271444.1333809115</c:v>
                </c:pt>
                <c:pt idx="1">
                  <c:v>5085776.5335236471</c:v>
                </c:pt>
                <c:pt idx="2">
                  <c:v>10867253.422714092</c:v>
                </c:pt>
              </c:numCache>
            </c:numRef>
          </c:val>
          <c:extLst>
            <c:ext xmlns:c16="http://schemas.microsoft.com/office/drawing/2014/chart" uri="{C3380CC4-5D6E-409C-BE32-E72D297353CC}">
              <c16:uniqueId val="{00000002-D867-284F-BF03-74A403DC4369}"/>
            </c:ext>
          </c:extLst>
        </c:ser>
        <c:ser>
          <c:idx val="1"/>
          <c:order val="1"/>
          <c:tx>
            <c:strRef>
              <c:f>Tornado!$K$114</c:f>
              <c:strCache>
                <c:ptCount val="1"/>
                <c:pt idx="0">
                  <c:v>Initial Costs</c:v>
                </c:pt>
              </c:strCache>
            </c:strRef>
          </c:tx>
          <c:spPr>
            <a:solidFill>
              <a:srgbClr val="E66DA9"/>
            </a:solidFill>
            <a:ln>
              <a:noFill/>
            </a:ln>
            <a:effectLst/>
          </c:spPr>
          <c:invertIfNegative val="0"/>
          <c:dLbls>
            <c:dLbl>
              <c:idx val="1"/>
              <c:dLblPos val="outEnd"/>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D867-284F-BF03-74A403DC4369}"/>
                </c:ext>
              </c:extLst>
            </c:dLbl>
            <c:numFmt formatCode="&quot;$&quot;#,##0_);\(&quot;$&quot;#,##0\)" sourceLinked="0"/>
            <c:spPr>
              <a:noFill/>
              <a:ln>
                <a:no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venir Book" panose="02000503020000020003"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Tornado!$I$115:$I$117</c:f>
              <c:strCache>
                <c:ptCount val="3"/>
                <c:pt idx="0">
                  <c:v>Pilot Program</c:v>
                </c:pt>
                <c:pt idx="1">
                  <c:v>Basic Program</c:v>
                </c:pt>
                <c:pt idx="2">
                  <c:v>Optimal Program</c:v>
                </c:pt>
              </c:strCache>
            </c:strRef>
          </c:cat>
          <c:val>
            <c:numRef>
              <c:f>Tornado!$K$115:$K$117</c:f>
              <c:numCache>
                <c:formatCode>_("$"* #,##0_);_("$"* \(#,##0\);_("$"* "-"??_);_(@_)</c:formatCode>
                <c:ptCount val="3"/>
                <c:pt idx="0">
                  <c:v>-110001</c:v>
                </c:pt>
                <c:pt idx="1">
                  <c:v>-1250002</c:v>
                </c:pt>
                <c:pt idx="2">
                  <c:v>-1550000.25</c:v>
                </c:pt>
              </c:numCache>
            </c:numRef>
          </c:val>
          <c:extLst>
            <c:ext xmlns:c16="http://schemas.microsoft.com/office/drawing/2014/chart" uri="{C3380CC4-5D6E-409C-BE32-E72D297353CC}">
              <c16:uniqueId val="{00000001-D867-284F-BF03-74A403DC4369}"/>
            </c:ext>
          </c:extLst>
        </c:ser>
        <c:ser>
          <c:idx val="3"/>
          <c:order val="2"/>
          <c:tx>
            <c:strRef>
              <c:f>Tornado!$L$114</c:f>
              <c:strCache>
                <c:ptCount val="1"/>
                <c:pt idx="0">
                  <c:v>Ongoing Costs</c:v>
                </c:pt>
              </c:strCache>
            </c:strRef>
          </c:tx>
          <c:spPr>
            <a:solidFill>
              <a:srgbClr val="8064A2">
                <a:alpha val="69020"/>
              </a:srgbClr>
            </a:solidFill>
            <a:ln>
              <a:noFill/>
            </a:ln>
            <a:effectLst/>
          </c:spPr>
          <c:invertIfNegative val="0"/>
          <c:dLbls>
            <c:dLbl>
              <c:idx val="0"/>
              <c:numFmt formatCode="&quot;$&quot;#,##0_);\(&quot;$&quot;#,##0\)" sourceLinked="0"/>
              <c:spPr>
                <a:noFill/>
                <a:ln>
                  <a:no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venir Book" panose="02000503020000020003" pitchFamily="2"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9E51-A54B-81E7-B49B24258D16}"/>
                </c:ext>
              </c:extLst>
            </c:dLbl>
            <c:dLbl>
              <c:idx val="1"/>
              <c:numFmt formatCode="&quot;$&quot;#,##0_);\(&quot;$&quot;#,##0\)" sourceLinked="0"/>
              <c:spPr>
                <a:noFill/>
                <a:ln>
                  <a:no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venir Book" panose="02000503020000020003" pitchFamily="2"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9E51-A54B-81E7-B49B24258D16}"/>
                </c:ext>
              </c:extLst>
            </c:dLbl>
            <c:dLbl>
              <c:idx val="2"/>
              <c:numFmt formatCode="&quot;$&quot;#,##0_);\(&quot;$&quot;#,##0\)" sourceLinked="0"/>
              <c:spPr>
                <a:noFill/>
                <a:ln>
                  <a:no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venir Book" panose="02000503020000020003" pitchFamily="2"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2-9E51-A54B-81E7-B49B24258D16}"/>
                </c:ext>
              </c:extLst>
            </c:dLbl>
            <c:numFmt formatCode="&quot;$&quot;#,##0_);\(&quot;$&quot;#,##0\)" sourceLinked="0"/>
            <c:spPr>
              <a:noFill/>
              <a:ln>
                <a:noFill/>
              </a:ln>
              <a:effectLst/>
            </c:spPr>
            <c:txPr>
              <a:bodyPr rot="-5400000" spcFirstLastPara="1" vertOverflow="clip" horzOverflow="clip"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venir Book" panose="02000503020000020003"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Tornado!$L$115:$L$117</c:f>
              <c:numCache>
                <c:formatCode>_("$"* #,##0_);_("$"* \(#,##0\);_("$"* "-"??_);_(@_)</c:formatCode>
                <c:ptCount val="3"/>
                <c:pt idx="0">
                  <c:v>-109086.24435907163</c:v>
                </c:pt>
                <c:pt idx="1">
                  <c:v>-2418078.4166260874</c:v>
                </c:pt>
                <c:pt idx="2">
                  <c:v>-6054286.5619284753</c:v>
                </c:pt>
              </c:numCache>
            </c:numRef>
          </c:val>
          <c:extLst>
            <c:ext xmlns:c16="http://schemas.microsoft.com/office/drawing/2014/chart" uri="{C3380CC4-5D6E-409C-BE32-E72D297353CC}">
              <c16:uniqueId val="{00000000-9E51-A54B-81E7-B49B24258D16}"/>
            </c:ext>
          </c:extLst>
        </c:ser>
        <c:ser>
          <c:idx val="0"/>
          <c:order val="3"/>
          <c:tx>
            <c:strRef>
              <c:f>Tornado!$J$114</c:f>
              <c:strCache>
                <c:ptCount val="1"/>
                <c:pt idx="0">
                  <c:v>Total Value</c:v>
                </c:pt>
              </c:strCache>
            </c:strRef>
          </c:tx>
          <c:spPr>
            <a:solidFill>
              <a:srgbClr val="9CBB59"/>
            </a:solidFill>
            <a:ln>
              <a:noFill/>
            </a:ln>
            <a:effectLst/>
          </c:spPr>
          <c:invertIfNegative val="0"/>
          <c:dLbls>
            <c:numFmt formatCode="&quot;$&quot;#,##0" sourceLinked="0"/>
            <c:spPr>
              <a:noFill/>
              <a:ln>
                <a:no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Avenir Book" panose="02000503020000020003"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Tornado!$I$115:$I$117</c:f>
              <c:strCache>
                <c:ptCount val="3"/>
                <c:pt idx="0">
                  <c:v>Pilot Program</c:v>
                </c:pt>
                <c:pt idx="1">
                  <c:v>Basic Program</c:v>
                </c:pt>
                <c:pt idx="2">
                  <c:v>Optimal Program</c:v>
                </c:pt>
              </c:strCache>
            </c:strRef>
          </c:cat>
          <c:val>
            <c:numRef>
              <c:f>Tornado!$J$115:$J$117</c:f>
              <c:numCache>
                <c:formatCode>_("$"* #,##0_);_("$"* \(#,##0\);_("$"* "-"??_);_(@_)</c:formatCode>
                <c:ptCount val="3"/>
                <c:pt idx="0">
                  <c:v>1052356.8890218399</c:v>
                </c:pt>
                <c:pt idx="1">
                  <c:v>1417696.1168975588</c:v>
                </c:pt>
                <c:pt idx="2">
                  <c:v>3262966.6107856184</c:v>
                </c:pt>
              </c:numCache>
            </c:numRef>
          </c:val>
          <c:extLst>
            <c:ext xmlns:c16="http://schemas.microsoft.com/office/drawing/2014/chart" uri="{C3380CC4-5D6E-409C-BE32-E72D297353CC}">
              <c16:uniqueId val="{00000000-D867-284F-BF03-74A403DC4369}"/>
            </c:ext>
          </c:extLst>
        </c:ser>
        <c:dLbls>
          <c:dLblPos val="outEnd"/>
          <c:showLegendKey val="0"/>
          <c:showVal val="1"/>
          <c:showCatName val="0"/>
          <c:showSerName val="0"/>
          <c:showPercent val="0"/>
          <c:showBubbleSize val="0"/>
        </c:dLbls>
        <c:gapWidth val="209"/>
        <c:overlap val="-34"/>
        <c:axId val="1932541007"/>
        <c:axId val="1927600703"/>
      </c:barChart>
      <c:catAx>
        <c:axId val="1932541007"/>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Red]\(&quot;$&quot;#,##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b" anchorCtr="1"/>
          <a:lstStyle/>
          <a:p>
            <a:pPr>
              <a:defRPr sz="1200" b="1" i="0" u="none" strike="noStrike" kern="1200" cap="none" spc="120" normalizeH="0" baseline="0">
                <a:solidFill>
                  <a:schemeClr val="tx1">
                    <a:lumMod val="65000"/>
                    <a:lumOff val="35000"/>
                  </a:schemeClr>
                </a:solidFill>
                <a:latin typeface="Avenir Book" panose="02000503020000020003" pitchFamily="2" charset="0"/>
                <a:ea typeface="+mn-ea"/>
                <a:cs typeface="+mn-cs"/>
              </a:defRPr>
            </a:pPr>
            <a:endParaRPr lang="en-US"/>
          </a:p>
        </c:txPr>
        <c:crossAx val="1927600703"/>
        <c:crossesAt val="0"/>
        <c:auto val="1"/>
        <c:lblAlgn val="ctr"/>
        <c:lblOffset val="100"/>
        <c:noMultiLvlLbl val="0"/>
      </c:catAx>
      <c:valAx>
        <c:axId val="1927600703"/>
        <c:scaling>
          <c:orientation val="minMax"/>
          <c:max val="12500000"/>
          <c:min val="-8000000"/>
        </c:scaling>
        <c:delete val="0"/>
        <c:axPos val="l"/>
        <c:numFmt formatCode="_(&quot;$&quot;* #,##0_);_(&quot;$&quot;* \(#,##0\);_(&quot;$&quot;* &quot;-&quot;_);_(@_)" sourceLinked="0"/>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venir Book" panose="02000503020000020003" pitchFamily="2" charset="0"/>
                <a:ea typeface="+mn-ea"/>
                <a:cs typeface="+mn-cs"/>
              </a:defRPr>
            </a:pPr>
            <a:endParaRPr lang="en-US"/>
          </a:p>
        </c:txPr>
        <c:crossAx val="1932541007"/>
        <c:crosses val="autoZero"/>
        <c:crossBetween val="between"/>
        <c:majorUnit val="2000000"/>
        <c:dispUnits>
          <c:builtInUnit val="thousands"/>
          <c:dispUnitsLbl>
            <c:tx>
              <c:rich>
                <a:bodyPr rot="-5400000" spcFirstLastPara="1" vertOverflow="ellipsis" vert="horz" wrap="square" anchor="ctr" anchorCtr="1"/>
                <a:lstStyle/>
                <a:p>
                  <a:pPr>
                    <a:defRPr sz="1100" b="0" i="0" u="none" strike="noStrike" kern="1200" cap="all" baseline="0">
                      <a:solidFill>
                        <a:schemeClr val="tx1">
                          <a:lumMod val="65000"/>
                          <a:lumOff val="35000"/>
                        </a:schemeClr>
                      </a:solidFill>
                      <a:latin typeface="Avenir Book" panose="02000503020000020003" pitchFamily="2" charset="0"/>
                      <a:ea typeface="+mn-ea"/>
                      <a:cs typeface="+mn-cs"/>
                    </a:defRPr>
                  </a:pPr>
                  <a:r>
                    <a:rPr lang="en-US" sz="1100" cap="none" baseline="0">
                      <a:latin typeface="Avenir Book" panose="02000503020000020003" pitchFamily="2" charset="0"/>
                    </a:rPr>
                    <a:t>Thousands</a:t>
                  </a:r>
                </a:p>
              </c:rich>
            </c:tx>
            <c:spPr>
              <a:noFill/>
              <a:ln>
                <a:noFill/>
              </a:ln>
              <a:effectLst/>
            </c:spPr>
            <c:txPr>
              <a:bodyPr rot="-5400000" spcFirstLastPara="1" vertOverflow="ellipsis" vert="horz" wrap="square" anchor="ctr" anchorCtr="1"/>
              <a:lstStyle/>
              <a:p>
                <a:pPr>
                  <a:defRPr sz="1100" b="0" i="0" u="none" strike="noStrike" kern="1200" cap="all" baseline="0">
                    <a:solidFill>
                      <a:schemeClr val="tx1">
                        <a:lumMod val="65000"/>
                        <a:lumOff val="35000"/>
                      </a:schemeClr>
                    </a:solidFill>
                    <a:latin typeface="Avenir Book" panose="02000503020000020003" pitchFamily="2" charset="0"/>
                    <a:ea typeface="+mn-ea"/>
                    <a:cs typeface="+mn-cs"/>
                  </a:defRPr>
                </a:pPr>
                <a:endParaRPr lang="en-US"/>
              </a:p>
            </c:txPr>
          </c:dispUnitsLbl>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 Book" panose="02000503020000020003" pitchFamily="2" charset="0"/>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400" b="1" i="0" baseline="0">
                <a:effectLst/>
                <a:latin typeface="Avenir Book" panose="02000503020000020003" pitchFamily="2" charset="0"/>
              </a:rPr>
              <a:t>Tornado Diagram </a:t>
            </a:r>
            <a:br>
              <a:rPr lang="en-US" sz="1800" b="0" i="0" baseline="0">
                <a:effectLst/>
                <a:latin typeface="Avenir Book" panose="02000503020000020003" pitchFamily="2" charset="0"/>
              </a:rPr>
            </a:br>
            <a:r>
              <a:rPr lang="en-US" sz="1100" b="0" i="0" baseline="0">
                <a:effectLst/>
                <a:latin typeface="Avenir Book" panose="02000503020000020003" pitchFamily="2" charset="0"/>
              </a:rPr>
              <a:t>SENSITIVITY ANALYSIS FOR 'OPTIMAL PROGRAM'</a:t>
            </a:r>
            <a:endParaRPr lang="en-US" sz="1100">
              <a:effectLst/>
              <a:latin typeface="Avenir Book" panose="02000503020000020003"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EB9FC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Tornado!$C$150:$C$158</c:f>
              <c:strCache>
                <c:ptCount val="9"/>
                <c:pt idx="0">
                  <c:v>Stage 1-2 HAPIs</c:v>
                </c:pt>
                <c:pt idx="1">
                  <c:v>Workers Compensation</c:v>
                </c:pt>
                <c:pt idx="2">
                  <c:v>Employee Turnover</c:v>
                </c:pt>
                <c:pt idx="3">
                  <c:v>Lost &amp; Restricted Days</c:v>
                </c:pt>
                <c:pt idx="4">
                  <c:v>Stage 3-4 HAPIs</c:v>
                </c:pt>
                <c:pt idx="5">
                  <c:v>Patient Falls</c:v>
                </c:pt>
                <c:pt idx="6">
                  <c:v>Setup Costs</c:v>
                </c:pt>
                <c:pt idx="7">
                  <c:v>Ongoing Costs</c:v>
                </c:pt>
                <c:pt idx="8">
                  <c:v>Medical Malpractice</c:v>
                </c:pt>
              </c:strCache>
            </c:strRef>
          </c:cat>
          <c:val>
            <c:numRef>
              <c:f>Tornado!$D$150:$D$158</c:f>
              <c:numCache>
                <c:formatCode>_("$"* #,##0_);_("$"* \(#,##0\);_("$"* "-"??_);_(@_)</c:formatCode>
                <c:ptCount val="9"/>
                <c:pt idx="0">
                  <c:v>2317835.8885257519</c:v>
                </c:pt>
                <c:pt idx="1">
                  <c:v>2280882.4585301457</c:v>
                </c:pt>
                <c:pt idx="2">
                  <c:v>2647431.3559074136</c:v>
                </c:pt>
                <c:pt idx="3">
                  <c:v>2816809.0083085597</c:v>
                </c:pt>
                <c:pt idx="4">
                  <c:v>2698853.2934211018</c:v>
                </c:pt>
                <c:pt idx="5">
                  <c:v>2723249.0702695902</c:v>
                </c:pt>
                <c:pt idx="6">
                  <c:v>3650466.6732856184</c:v>
                </c:pt>
                <c:pt idx="7">
                  <c:v>3535682.2216832982</c:v>
                </c:pt>
                <c:pt idx="8">
                  <c:v>3159921.0285012107</c:v>
                </c:pt>
              </c:numCache>
            </c:numRef>
          </c:val>
          <c:extLst>
            <c:ext xmlns:c16="http://schemas.microsoft.com/office/drawing/2014/chart" uri="{C3380CC4-5D6E-409C-BE32-E72D297353CC}">
              <c16:uniqueId val="{00000000-CE9F-2E4D-83A3-FC297D2351FB}"/>
            </c:ext>
          </c:extLst>
        </c:ser>
        <c:ser>
          <c:idx val="1"/>
          <c:order val="1"/>
          <c:spPr>
            <a:solidFill>
              <a:srgbClr val="6CBDF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Tornado!$C$150:$C$158</c:f>
              <c:strCache>
                <c:ptCount val="9"/>
                <c:pt idx="0">
                  <c:v>Stage 1-2 HAPIs</c:v>
                </c:pt>
                <c:pt idx="1">
                  <c:v>Workers Compensation</c:v>
                </c:pt>
                <c:pt idx="2">
                  <c:v>Employee Turnover</c:v>
                </c:pt>
                <c:pt idx="3">
                  <c:v>Lost &amp; Restricted Days</c:v>
                </c:pt>
                <c:pt idx="4">
                  <c:v>Stage 3-4 HAPIs</c:v>
                </c:pt>
                <c:pt idx="5">
                  <c:v>Patient Falls</c:v>
                </c:pt>
                <c:pt idx="6">
                  <c:v>Setup Costs</c:v>
                </c:pt>
                <c:pt idx="7">
                  <c:v>Ongoing Costs</c:v>
                </c:pt>
                <c:pt idx="8">
                  <c:v>Medical Malpractice</c:v>
                </c:pt>
              </c:strCache>
            </c:strRef>
          </c:cat>
          <c:val>
            <c:numRef>
              <c:f>Tornado!$E$150:$E$158</c:f>
              <c:numCache>
                <c:formatCode>_("$"* #,##0_);_("$"* \(#,##0\);_("$"* "-"??_);_(@_)</c:formatCode>
                <c:ptCount val="9"/>
                <c:pt idx="0">
                  <c:v>4672915.7210421413</c:v>
                </c:pt>
                <c:pt idx="1">
                  <c:v>4535452.8711220482</c:v>
                </c:pt>
                <c:pt idx="2">
                  <c:v>4828840.7973605124</c:v>
                </c:pt>
                <c:pt idx="3">
                  <c:v>4240051.7602103781</c:v>
                </c:pt>
                <c:pt idx="4">
                  <c:v>4104512.7071818653</c:v>
                </c:pt>
                <c:pt idx="5">
                  <c:v>3671990.8957023877</c:v>
                </c:pt>
                <c:pt idx="6">
                  <c:v>2952966.5607856186</c:v>
                </c:pt>
                <c:pt idx="7">
                  <c:v>3099337.2442470109</c:v>
                </c:pt>
                <c:pt idx="8">
                  <c:v>3344573.7172686276</c:v>
                </c:pt>
              </c:numCache>
            </c:numRef>
          </c:val>
          <c:extLst>
            <c:ext xmlns:c16="http://schemas.microsoft.com/office/drawing/2014/chart" uri="{C3380CC4-5D6E-409C-BE32-E72D297353CC}">
              <c16:uniqueId val="{00000001-CE9F-2E4D-83A3-FC297D2351FB}"/>
            </c:ext>
          </c:extLst>
        </c:ser>
        <c:dLbls>
          <c:showLegendKey val="0"/>
          <c:showVal val="0"/>
          <c:showCatName val="0"/>
          <c:showSerName val="0"/>
          <c:showPercent val="0"/>
          <c:showBubbleSize val="0"/>
        </c:dLbls>
        <c:gapWidth val="61"/>
        <c:overlap val="100"/>
        <c:axId val="457279984"/>
        <c:axId val="454693344"/>
      </c:barChart>
      <c:catAx>
        <c:axId val="457279984"/>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venir Book" panose="02000503020000020003" pitchFamily="2" charset="0"/>
                <a:ea typeface="+mn-ea"/>
                <a:cs typeface="+mn-cs"/>
              </a:defRPr>
            </a:pPr>
            <a:endParaRPr lang="en-US"/>
          </a:p>
        </c:txPr>
        <c:crossAx val="454693344"/>
        <c:crossesAt val="3300000"/>
        <c:auto val="1"/>
        <c:lblAlgn val="ctr"/>
        <c:lblOffset val="100"/>
        <c:noMultiLvlLbl val="0"/>
      </c:catAx>
      <c:valAx>
        <c:axId val="454693344"/>
        <c:scaling>
          <c:orientation val="minMax"/>
          <c:max val="5500000"/>
          <c:min val="2000000"/>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venir Book" panose="02000503020000020003" pitchFamily="2" charset="0"/>
                <a:ea typeface="+mn-ea"/>
                <a:cs typeface="+mn-cs"/>
              </a:defRPr>
            </a:pPr>
            <a:endParaRPr lang="en-US"/>
          </a:p>
        </c:txPr>
        <c:crossAx val="457279984"/>
        <c:crosses val="autoZero"/>
        <c:crossBetween val="between"/>
        <c:majorUnit val="1000000"/>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rich>
          <a:bodyPr spcFirstLastPara="1" vertOverflow="ellipsis" horzOverflow="overflow" wrap="square" lIns="0" tIns="0" rIns="0" bIns="0" anchor="ctr" anchorCtr="1"/>
          <a:lstStyle/>
          <a:p>
            <a:pPr algn="ctr" rtl="0">
              <a:defRPr>
                <a:latin typeface="Avenir Book" panose="02000503020000020003" pitchFamily="2" charset="0"/>
                <a:ea typeface="Avenir Book" panose="02000503020000020003" pitchFamily="2" charset="0"/>
                <a:cs typeface="Avenir Book" panose="02000503020000020003" pitchFamily="2" charset="0"/>
              </a:defRPr>
            </a:pPr>
            <a:r>
              <a:rPr lang="en-US" sz="2400" b="1" i="0" u="none" strike="noStrike" baseline="0">
                <a:solidFill>
                  <a:schemeClr val="tx1">
                    <a:lumMod val="65000"/>
                    <a:lumOff val="35000"/>
                  </a:schemeClr>
                </a:solidFill>
                <a:latin typeface="Avenir Book" panose="02000503020000020003" pitchFamily="2" charset="0"/>
                <a:cs typeface="Arial" panose="020B0604020202020204" pitchFamily="34" charset="0"/>
              </a:rPr>
              <a:t>Waterfall</a:t>
            </a:r>
            <a:r>
              <a:rPr lang="en-US" sz="2400" b="1" i="0" u="none" strike="noStrike" baseline="0">
                <a:solidFill>
                  <a:sysClr val="windowText" lastClr="000000">
                    <a:lumMod val="65000"/>
                    <a:lumOff val="35000"/>
                  </a:sysClr>
                </a:solidFill>
                <a:latin typeface="Avenir Book" panose="02000503020000020003" pitchFamily="2" charset="0"/>
                <a:cs typeface="Arial" panose="020B0604020202020204" pitchFamily="34" charset="0"/>
              </a:rPr>
              <a:t> Chart</a:t>
            </a:r>
            <a:br>
              <a:rPr lang="en-US" sz="1100" b="0" i="0" u="none" strike="noStrike" baseline="0">
                <a:solidFill>
                  <a:sysClr val="windowText" lastClr="000000">
                    <a:lumMod val="65000"/>
                    <a:lumOff val="35000"/>
                  </a:sysClr>
                </a:solidFill>
                <a:latin typeface="Avenir Book" panose="02000503020000020003" pitchFamily="2" charset="0"/>
                <a:cs typeface="Arial" panose="020B0604020202020204" pitchFamily="34" charset="0"/>
              </a:rPr>
            </a:br>
            <a:r>
              <a:rPr lang="en-US" sz="1100" b="0" i="0" u="none" strike="noStrike" baseline="0">
                <a:solidFill>
                  <a:sysClr val="windowText" lastClr="000000">
                    <a:lumMod val="65000"/>
                    <a:lumOff val="35000"/>
                  </a:sysClr>
                </a:solidFill>
                <a:latin typeface="Avenir Book" panose="02000503020000020003" pitchFamily="2" charset="0"/>
                <a:cs typeface="Arial" panose="020B0604020202020204" pitchFamily="34" charset="0"/>
              </a:rPr>
              <a:t>COMPONENTS OF  VALUE FOR 'OPTIMAL PROGRAM'</a:t>
            </a:r>
            <a:endParaRPr lang="en-US" sz="1800" b="0" i="0" u="none" strike="noStrike" baseline="0">
              <a:solidFill>
                <a:sysClr val="windowText" lastClr="000000">
                  <a:lumMod val="65000"/>
                  <a:lumOff val="35000"/>
                </a:sysClr>
              </a:solidFill>
              <a:latin typeface="Avenir Book" panose="02000503020000020003" pitchFamily="2" charset="0"/>
              <a:cs typeface="Arial" panose="020B0604020202020204" pitchFamily="34" charset="0"/>
            </a:endParaRPr>
          </a:p>
        </cx:rich>
      </cx:tx>
    </cx:title>
    <cx:plotArea>
      <cx:plotAreaRegion>
        <cx:series layoutId="waterfall" uniqueId="{70994123-2D42-EE43-9D09-B2844FDF0C03}" formatIdx="0">
          <cx:spPr>
            <a:ln w="6350">
              <a:solidFill>
                <a:schemeClr val="accent1"/>
              </a:solidFill>
            </a:ln>
          </cx:spPr>
          <cx:dataPt idx="0">
            <cx:spPr>
              <a:solidFill>
                <a:srgbClr val="3BA7F0">
                  <a:alpha val="75000"/>
                </a:srgbClr>
              </a:solidFill>
              <a:ln w="6350">
                <a:solidFill>
                  <a:srgbClr val="4F81BD"/>
                </a:solidFill>
              </a:ln>
            </cx:spPr>
          </cx:dataPt>
          <cx:dataPt idx="1">
            <cx:spPr>
              <a:solidFill>
                <a:srgbClr val="3BA7F0">
                  <a:alpha val="75000"/>
                </a:srgbClr>
              </a:solidFill>
              <a:ln w="6350">
                <a:solidFill>
                  <a:srgbClr val="4F81BD"/>
                </a:solidFill>
              </a:ln>
            </cx:spPr>
          </cx:dataPt>
          <cx:dataPt idx="2">
            <cx:spPr>
              <a:solidFill>
                <a:srgbClr val="3BA7F0">
                  <a:alpha val="75000"/>
                </a:srgbClr>
              </a:solidFill>
            </cx:spPr>
          </cx:dataPt>
          <cx:dataPt idx="3">
            <cx:spPr>
              <a:solidFill>
                <a:srgbClr val="3BA7F0">
                  <a:alpha val="75000"/>
                </a:srgbClr>
              </a:solidFill>
              <a:ln w="6350">
                <a:solidFill>
                  <a:srgbClr val="4F81BD"/>
                </a:solidFill>
              </a:ln>
            </cx:spPr>
          </cx:dataPt>
          <cx:dataPt idx="4">
            <cx:spPr>
              <a:solidFill>
                <a:srgbClr val="3BA7F0">
                  <a:alpha val="75000"/>
                </a:srgbClr>
              </a:solidFill>
            </cx:spPr>
          </cx:dataPt>
          <cx:dataPt idx="5">
            <cx:spPr>
              <a:solidFill>
                <a:srgbClr val="3BA7F0">
                  <a:alpha val="75000"/>
                </a:srgbClr>
              </a:solidFill>
            </cx:spPr>
          </cx:dataPt>
          <cx:dataPt idx="6">
            <cx:spPr>
              <a:solidFill>
                <a:srgbClr val="3BA7F0">
                  <a:alpha val="75000"/>
                </a:srgbClr>
              </a:solidFill>
            </cx:spPr>
          </cx:dataPt>
          <cx:dataPt idx="7">
            <cx:spPr>
              <a:solidFill>
                <a:srgbClr val="D60C70">
                  <a:alpha val="60000"/>
                </a:srgbClr>
              </a:solidFill>
            </cx:spPr>
          </cx:dataPt>
          <cx:dataPt idx="8">
            <cx:spPr>
              <a:solidFill>
                <a:srgbClr val="8064A2">
                  <a:alpha val="60000"/>
                </a:srgbClr>
              </a:solidFill>
              <a:ln w="6350">
                <a:solidFill>
                  <a:srgbClr val="4F81BD"/>
                </a:solidFill>
              </a:ln>
            </cx:spPr>
          </cx:dataPt>
          <cx:dataPt idx="9">
            <cx:spPr>
              <a:solidFill>
                <a:srgbClr val="9CBB59"/>
              </a:solidFill>
              <a:ln w="6350">
                <a:solidFill>
                  <a:srgbClr val="4F81BD"/>
                </a:solidFill>
              </a:ln>
            </cx:spPr>
          </cx:dataPt>
          <cx:dataLabels pos="outEnd">
            <cx:txPr>
              <a:bodyPr spcFirstLastPara="1" vertOverflow="ellipsis" horzOverflow="overflow" wrap="square" lIns="0" tIns="0" rIns="0" bIns="0" anchor="ctr" anchorCtr="1"/>
              <a:lstStyle/>
              <a:p>
                <a:pPr algn="ctr" rtl="0">
                  <a:defRPr sz="1050">
                    <a:solidFill>
                      <a:schemeClr val="tx1">
                        <a:lumMod val="50000"/>
                        <a:lumOff val="50000"/>
                      </a:schemeClr>
                    </a:solidFill>
                    <a:latin typeface="Avenir Book" panose="02000503020000020003" pitchFamily="2" charset="0"/>
                    <a:ea typeface="Avenir Book" panose="02000503020000020003" pitchFamily="2" charset="0"/>
                    <a:cs typeface="Avenir Book" panose="02000503020000020003" pitchFamily="2" charset="0"/>
                  </a:defRPr>
                </a:pPr>
                <a:endParaRPr lang="en-US" sz="1050" b="0" i="0" u="none" strike="noStrike" baseline="0">
                  <a:solidFill>
                    <a:schemeClr val="tx1">
                      <a:lumMod val="50000"/>
                      <a:lumOff val="50000"/>
                    </a:schemeClr>
                  </a:solidFill>
                  <a:latin typeface="Avenir Book" panose="02000503020000020003" pitchFamily="2" charset="0"/>
                </a:endParaRPr>
              </a:p>
            </cx:txPr>
            <cx:visibility seriesName="0" categoryName="0" value="1"/>
            <cx:separator>, </cx:separator>
          </cx:dataLabels>
          <cx:dataId val="0"/>
          <cx:layoutPr>
            <cx:visibility connectorLines="1"/>
            <cx:subtotals>
              <cx:idx val="9"/>
            </cx:subtotals>
          </cx:layoutPr>
        </cx:series>
      </cx:plotAreaRegion>
      <cx:axis id="0">
        <cx:catScaling gapWidth="0.5"/>
        <cx:majorTickMarks type="cross"/>
        <cx:minorTickMarks type="cross"/>
        <cx:tickLabels/>
        <cx:txPr>
          <a:bodyPr spcFirstLastPara="1" vertOverflow="ellipsis" horzOverflow="overflow" wrap="square" lIns="0" tIns="0" rIns="0" bIns="0" anchor="ctr" anchorCtr="1"/>
          <a:lstStyle/>
          <a:p>
            <a:pPr algn="ctr" rtl="0">
              <a:defRPr sz="1100" b="1">
                <a:latin typeface="Avenir Book" panose="02000503020000020003" pitchFamily="2" charset="0"/>
                <a:ea typeface="Avenir Book" panose="02000503020000020003" pitchFamily="2" charset="0"/>
                <a:cs typeface="Avenir Book" panose="02000503020000020003" pitchFamily="2" charset="0"/>
              </a:defRPr>
            </a:pPr>
            <a:endParaRPr lang="en-US" sz="1100" b="1" i="0" u="none" strike="noStrike" baseline="0">
              <a:solidFill>
                <a:sysClr val="windowText" lastClr="000000">
                  <a:lumMod val="65000"/>
                  <a:lumOff val="35000"/>
                </a:sysClr>
              </a:solidFill>
              <a:latin typeface="Avenir Book" panose="02000503020000020003" pitchFamily="2" charset="0"/>
            </a:endParaRPr>
          </a:p>
        </cx:txPr>
      </cx:axis>
      <cx:axis id="1">
        <cx:valScaling/>
        <cx:units unit="thousands">
          <cx:unitsLabel>
            <cx:tx>
              <cx:txData>
                <cx:v>Thousands</cx:v>
              </cx:txData>
            </cx:tx>
            <cx:txPr>
              <a:bodyPr vertOverflow="overflow" horzOverflow="overflow" wrap="square" lIns="0" tIns="0" rIns="0" bIns="0"/>
              <a:lstStyle/>
              <a:p>
                <a:pPr algn="ctr" rtl="0">
                  <a:defRPr sz="1100" b="0">
                    <a:solidFill>
                      <a:srgbClr val="7F7F7F"/>
                    </a:solidFill>
                    <a:latin typeface="Avenir Book" panose="02000503020000020003" pitchFamily="2" charset="0"/>
                    <a:ea typeface="Avenir Book" panose="02000503020000020003" pitchFamily="2" charset="0"/>
                    <a:cs typeface="Avenir Book" panose="02000503020000020003" pitchFamily="2" charset="0"/>
                  </a:defRPr>
                </a:pPr>
                <a:r>
                  <a:rPr lang="en-US" sz="1100">
                    <a:latin typeface="Avenir Book" panose="02000503020000020003" pitchFamily="2" charset="0"/>
                  </a:rPr>
                  <a:t>Thousands</a:t>
                </a:r>
              </a:p>
            </cx:txPr>
          </cx:unitsLabel>
        </cx:units>
        <cx:majorGridlines/>
        <cx:tickLabels/>
        <cx:txPr>
          <a:bodyPr spcFirstLastPara="1" vertOverflow="ellipsis" horzOverflow="overflow" wrap="square" lIns="0" tIns="0" rIns="0" bIns="0" anchor="ctr" anchorCtr="1"/>
          <a:lstStyle/>
          <a:p>
            <a:pPr algn="ctr" rtl="0">
              <a:defRPr sz="1050">
                <a:latin typeface="Avenir Book" panose="02000503020000020003" pitchFamily="2" charset="0"/>
                <a:ea typeface="Avenir Book" panose="02000503020000020003" pitchFamily="2" charset="0"/>
                <a:cs typeface="Avenir Book" panose="02000503020000020003" pitchFamily="2" charset="0"/>
              </a:defRPr>
            </a:pPr>
            <a:endParaRPr lang="en-US" sz="1050" b="0" i="0" u="none" strike="noStrike" baseline="0">
              <a:solidFill>
                <a:sysClr val="windowText" lastClr="000000">
                  <a:lumMod val="65000"/>
                  <a:lumOff val="35000"/>
                </a:sysClr>
              </a:solidFill>
              <a:latin typeface="Avenir Book" panose="02000503020000020003" pitchFamily="2" charset="0"/>
            </a:endParaRPr>
          </a:p>
        </cx:txPr>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89">
  <cs:axisTitle>
    <cs:lnRef idx="0"/>
    <cs:fillRef idx="0"/>
    <cs:effectRef idx="0"/>
    <cs:fontRef idx="minor">
      <a:schemeClr val="tx1">
        <a:lumMod val="65000"/>
        <a:lumOff val="35000"/>
      </a:schemeClr>
    </cs:fontRef>
    <cs:defRPr sz="9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lt1">
        <a:lumMod val="65000"/>
        <a:lumOff val="35000"/>
      </a:schemeClr>
    </cs:fontRef>
    <cs:spPr>
      <a:solidFill>
        <a:schemeClr val="dk1">
          <a:lumMod val="15000"/>
          <a:lumOff val="8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lumMod val="60000"/>
        </a:schemeClr>
      </a:solidFill>
    </cs:spPr>
  </cs:dataPointMarker>
  <cs:dataPointMarkerLayout symbol="circle" size="8"/>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2857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25400" cap="flat" cmpd="sng" algn="ctr">
        <a:solidFill>
          <a:schemeClr val="tx1">
            <a:lumMod val="65000"/>
            <a:lumOff val="35000"/>
          </a:schemeClr>
        </a:solidFill>
        <a:round/>
      </a:ln>
    </cs:spPr>
  </cs:hiLoLine>
  <cs:leaderLine>
    <cs:lnRef idx="0"/>
    <cs:fillRef idx="0"/>
    <cs:effectRef idx="0"/>
    <cs:fontRef idx="minor">
      <a:schemeClr val="dk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ajor">
      <a:schemeClr val="tx1">
        <a:lumMod val="65000"/>
        <a:lumOff val="35000"/>
      </a:schemeClr>
    </cs:fontRef>
    <cs:defRPr sz="200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28575">
        <a:solidFill>
          <a:schemeClr val="tx1">
            <a:lumMod val="50000"/>
            <a:lumOff val="50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microsoft.com/office/2014/relationships/chartEx" Target="../charts/chartEx1.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1338067</xdr:colOff>
      <xdr:row>74</xdr:row>
      <xdr:rowOff>40196</xdr:rowOff>
    </xdr:from>
    <xdr:to>
      <xdr:col>8</xdr:col>
      <xdr:colOff>664308</xdr:colOff>
      <xdr:row>96</xdr:row>
      <xdr:rowOff>88408</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9114375" y="13678042"/>
          <a:ext cx="3058087" cy="348698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latin typeface="Avenir Book" panose="02000503020000020003" pitchFamily="2" charset="0"/>
          </a:endParaRPr>
        </a:p>
        <a:p>
          <a:r>
            <a:rPr lang="en-US" sz="1100" b="1">
              <a:latin typeface="Avenir Book" panose="02000503020000020003" pitchFamily="2" charset="0"/>
            </a:rPr>
            <a:t>Note 1</a:t>
          </a:r>
          <a:r>
            <a:rPr lang="en-US" sz="1100">
              <a:latin typeface="Avenir Book" panose="02000503020000020003" pitchFamily="2" charset="0"/>
            </a:rPr>
            <a:t>: The axis in the Tornado</a:t>
          </a:r>
          <a:r>
            <a:rPr lang="en-US" sz="1100" baseline="0">
              <a:latin typeface="Avenir Book" panose="02000503020000020003" pitchFamily="2" charset="0"/>
            </a:rPr>
            <a:t> diagram</a:t>
          </a:r>
          <a:r>
            <a:rPr lang="en-US" sz="1100">
              <a:latin typeface="Avenir Book" panose="02000503020000020003" pitchFamily="2" charset="0"/>
            </a:rPr>
            <a:t> needs to be adjusted when</a:t>
          </a:r>
          <a:r>
            <a:rPr lang="en-US" sz="1100" baseline="0">
              <a:latin typeface="Avenir Book" panose="02000503020000020003" pitchFamily="2" charset="0"/>
            </a:rPr>
            <a:t> the discount rate or expected values are changed.  Right click on the horizontal axis, select "Format Axis", under "Vertical Axis crosses" change the value to be equal to the  Program NPV</a:t>
          </a:r>
        </a:p>
        <a:p>
          <a:endParaRPr lang="en-US" sz="1100" baseline="0">
            <a:latin typeface="Avenir Book" panose="02000503020000020003" pitchFamily="2" charset="0"/>
          </a:endParaRPr>
        </a:p>
        <a:p>
          <a:endParaRPr lang="en-US" sz="1100" baseline="0">
            <a:latin typeface="Avenir Book" panose="02000503020000020003" pitchFamily="2" charset="0"/>
          </a:endParaRPr>
        </a:p>
        <a:p>
          <a:endParaRPr lang="en-US" sz="1100" baseline="0">
            <a:latin typeface="Avenir Book" panose="02000503020000020003" pitchFamily="2" charset="0"/>
          </a:endParaRPr>
        </a:p>
        <a:p>
          <a:r>
            <a:rPr lang="en-US" sz="1100" b="1" baseline="0">
              <a:latin typeface="Avenir Book" panose="02000503020000020003" pitchFamily="2" charset="0"/>
            </a:rPr>
            <a:t>Note 2: </a:t>
          </a:r>
          <a:r>
            <a:rPr lang="en-US" sz="1100" b="0" baseline="0">
              <a:latin typeface="Avenir Book" panose="02000503020000020003" pitchFamily="2" charset="0"/>
            </a:rPr>
            <a:t>The Program Comparison chart needs to be built manually by using the Secenario picker on the "Inputs" sheet and completing the table at I112 on this sheet.</a:t>
          </a:r>
          <a:endParaRPr lang="en-US" sz="1100" b="1" baseline="0">
            <a:latin typeface="Avenir Book" panose="02000503020000020003" pitchFamily="2" charset="0"/>
          </a:endParaRPr>
        </a:p>
        <a:p>
          <a:endParaRPr lang="en-US" sz="1100" baseline="0">
            <a:latin typeface="Avenir Book" panose="02000503020000020003" pitchFamily="2" charset="0"/>
          </a:endParaRPr>
        </a:p>
        <a:p>
          <a:endParaRPr lang="en-US" sz="1100" baseline="0">
            <a:latin typeface="Avenir Book" panose="02000503020000020003" pitchFamily="2" charset="0"/>
          </a:endParaRPr>
        </a:p>
      </xdr:txBody>
    </xdr:sp>
    <xdr:clientData/>
  </xdr:twoCellAnchor>
  <xdr:twoCellAnchor>
    <xdr:from>
      <xdr:col>0</xdr:col>
      <xdr:colOff>137210</xdr:colOff>
      <xdr:row>72</xdr:row>
      <xdr:rowOff>25636</xdr:rowOff>
    </xdr:from>
    <xdr:to>
      <xdr:col>5</xdr:col>
      <xdr:colOff>829737</xdr:colOff>
      <xdr:row>106</xdr:row>
      <xdr:rowOff>0</xdr:rowOff>
    </xdr:to>
    <xdr:graphicFrame macro="">
      <xdr:nvGraphicFramePr>
        <xdr:cNvPr id="6" name="Chart 5">
          <a:extLst>
            <a:ext uri="{FF2B5EF4-FFF2-40B4-BE49-F238E27FC236}">
              <a16:creationId xmlns:a16="http://schemas.microsoft.com/office/drawing/2014/main" id="{FE249CBB-725B-274D-8A4C-6ADAE6C4D5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127435</xdr:colOff>
      <xdr:row>37</xdr:row>
      <xdr:rowOff>85617</xdr:rowOff>
    </xdr:from>
    <xdr:to>
      <xdr:col>5</xdr:col>
      <xdr:colOff>822379</xdr:colOff>
      <xdr:row>71</xdr:row>
      <xdr:rowOff>67553</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3D18ED9A-0D55-0C43-B081-E3E484CAF0A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27435" y="8061217"/>
              <a:ext cx="8480044" cy="5595336"/>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8</xdr:col>
      <xdr:colOff>23848</xdr:colOff>
      <xdr:row>118</xdr:row>
      <xdr:rowOff>21264</xdr:rowOff>
    </xdr:from>
    <xdr:to>
      <xdr:col>13</xdr:col>
      <xdr:colOff>56028</xdr:colOff>
      <xdr:row>127</xdr:row>
      <xdr:rowOff>112060</xdr:rowOff>
    </xdr:to>
    <xdr:sp macro="" textlink="">
      <xdr:nvSpPr>
        <xdr:cNvPr id="8" name="TextBox 7">
          <a:extLst>
            <a:ext uri="{FF2B5EF4-FFF2-40B4-BE49-F238E27FC236}">
              <a16:creationId xmlns:a16="http://schemas.microsoft.com/office/drawing/2014/main" id="{7112DF4B-4ADC-D74D-8862-7B8148957017}"/>
            </a:ext>
          </a:extLst>
        </xdr:cNvPr>
        <xdr:cNvSpPr txBox="1"/>
      </xdr:nvSpPr>
      <xdr:spPr>
        <a:xfrm>
          <a:off x="11547230" y="21741999"/>
          <a:ext cx="5765857" cy="160359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0">
            <a:latin typeface="Avenir Book" panose="02000503020000020003" pitchFamily="2" charset="0"/>
          </a:endParaRPr>
        </a:p>
        <a:p>
          <a:r>
            <a:rPr lang="en-US" sz="1100" b="1">
              <a:latin typeface="Avenir Book" panose="02000503020000020003" pitchFamily="2" charset="0"/>
            </a:rPr>
            <a:t>To update Comparison Chart:</a:t>
          </a:r>
        </a:p>
        <a:p>
          <a:endParaRPr lang="en-US" sz="1100" b="0">
            <a:latin typeface="Avenir Book" panose="02000503020000020003" pitchFamily="2" charset="0"/>
          </a:endParaRPr>
        </a:p>
        <a:p>
          <a:r>
            <a:rPr lang="en-US" sz="1100" b="0">
              <a:latin typeface="Avenir Book" panose="02000503020000020003" pitchFamily="2" charset="0"/>
            </a:rPr>
            <a:t>1. Set scenario at cell B16 on Inputs sheet to 1</a:t>
          </a:r>
        </a:p>
        <a:p>
          <a:r>
            <a:rPr lang="en-US" sz="1100" b="0">
              <a:latin typeface="Avenir Book" panose="02000503020000020003" pitchFamily="2" charset="0"/>
            </a:rPr>
            <a:t>2. Copy </a:t>
          </a:r>
          <a:r>
            <a:rPr lang="en-US" sz="1100" b="0" baseline="0">
              <a:latin typeface="Avenir Book" panose="02000503020000020003" pitchFamily="2" charset="0"/>
            </a:rPr>
            <a:t> values in J</a:t>
          </a:r>
          <a:r>
            <a:rPr lang="en-US" sz="1100" b="0">
              <a:latin typeface="Avenir Book" panose="02000503020000020003" pitchFamily="2" charset="0"/>
            </a:rPr>
            <a:t>117:M117 </a:t>
          </a:r>
          <a:r>
            <a:rPr lang="en-US" sz="1100" b="0" baseline="0">
              <a:latin typeface="Avenir Book" panose="02000503020000020003" pitchFamily="2" charset="0"/>
            </a:rPr>
            <a:t> and paste values to Pilot Program entries J</a:t>
          </a:r>
          <a:r>
            <a:rPr lang="en-US" sz="1100" b="0">
              <a:latin typeface="Avenir Book" panose="02000503020000020003" pitchFamily="2" charset="0"/>
            </a:rPr>
            <a:t>115:M115</a:t>
          </a:r>
          <a:endParaRPr lang="en-US" sz="1100" b="0" baseline="0">
            <a:latin typeface="Avenir Book" panose="02000503020000020003" pitchFamily="2" charset="0"/>
          </a:endParaRPr>
        </a:p>
        <a:p>
          <a:r>
            <a:rPr lang="en-US" sz="1100" b="0" baseline="0">
              <a:latin typeface="Avenir Book" panose="02000503020000020003" pitchFamily="2" charset="0"/>
            </a:rPr>
            <a:t>3. repeat steps 1-2 for scenario 2</a:t>
          </a:r>
        </a:p>
        <a:p>
          <a:r>
            <a:rPr lang="en-US" sz="1100" b="0" baseline="0">
              <a:latin typeface="Avenir Book" panose="02000503020000020003" pitchFamily="2" charset="0"/>
            </a:rPr>
            <a:t>4. Set scenario back to 3. </a:t>
          </a:r>
        </a:p>
      </xdr:txBody>
    </xdr:sp>
    <xdr:clientData/>
  </xdr:twoCellAnchor>
  <xdr:twoCellAnchor>
    <xdr:from>
      <xdr:col>5</xdr:col>
      <xdr:colOff>939800</xdr:colOff>
      <xdr:row>37</xdr:row>
      <xdr:rowOff>101600</xdr:rowOff>
    </xdr:from>
    <xdr:to>
      <xdr:col>12</xdr:col>
      <xdr:colOff>1066800</xdr:colOff>
      <xdr:row>71</xdr:row>
      <xdr:rowOff>76200</xdr:rowOff>
    </xdr:to>
    <xdr:graphicFrame macro="">
      <xdr:nvGraphicFramePr>
        <xdr:cNvPr id="3" name="Chart 2">
          <a:extLst>
            <a:ext uri="{FF2B5EF4-FFF2-40B4-BE49-F238E27FC236}">
              <a16:creationId xmlns:a16="http://schemas.microsoft.com/office/drawing/2014/main" id="{1EEE2C08-FDE2-454C-99C3-9A8710A4E7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imon Mawer" id="{7134AAF4-E435-444D-B63D-144170FF4BF6}" userId="Simon Mawer" providerId="None"/>
  <person displayName="Simon Mawer" id="{2B762FF6-4093-F840-849D-948726AB23B3}" userId="fcea6355f70d5c52" providerId="Windows Live"/>
  <person displayName="Microsoft Office User" id="{C565D480-433D-6E43-A706-17DC4E787EA4}" userId="Microsoft Office Use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29"/>
  <sheetViews>
    <sheetView workbookViewId="0">
      <selection sqref="A1:O29"/>
    </sheetView>
  </sheetViews>
  <sheetFormatPr baseColWidth="10" defaultColWidth="8.83203125" defaultRowHeight="13"/>
  <sheetData>
    <row r="1" spans="1:18">
      <c r="A1" s="279" t="s">
        <v>31</v>
      </c>
      <c r="B1" s="279"/>
      <c r="C1" s="279"/>
      <c r="D1" s="279"/>
      <c r="E1" s="279"/>
      <c r="F1" s="279"/>
      <c r="G1" s="279"/>
      <c r="H1" s="279"/>
      <c r="I1" s="279"/>
      <c r="J1" s="279"/>
      <c r="K1" s="279"/>
      <c r="L1" s="279"/>
      <c r="M1" s="279"/>
      <c r="N1" s="279"/>
      <c r="O1" s="279"/>
    </row>
    <row r="2" spans="1:18">
      <c r="A2" s="279"/>
      <c r="B2" s="279"/>
      <c r="C2" s="279"/>
      <c r="D2" s="279"/>
      <c r="E2" s="279"/>
      <c r="F2" s="279"/>
      <c r="G2" s="279"/>
      <c r="H2" s="279"/>
      <c r="I2" s="279"/>
      <c r="J2" s="279"/>
      <c r="K2" s="279"/>
      <c r="L2" s="279"/>
      <c r="M2" s="279"/>
      <c r="N2" s="279"/>
      <c r="O2" s="279"/>
    </row>
    <row r="3" spans="1:18">
      <c r="A3" s="279"/>
      <c r="B3" s="279"/>
      <c r="C3" s="279"/>
      <c r="D3" s="279"/>
      <c r="E3" s="279"/>
      <c r="F3" s="279"/>
      <c r="G3" s="279"/>
      <c r="H3" s="279"/>
      <c r="I3" s="279"/>
      <c r="J3" s="279"/>
      <c r="K3" s="279"/>
      <c r="L3" s="279"/>
      <c r="M3" s="279"/>
      <c r="N3" s="279"/>
      <c r="O3" s="279"/>
    </row>
    <row r="4" spans="1:18">
      <c r="A4" s="279"/>
      <c r="B4" s="279"/>
      <c r="C4" s="279"/>
      <c r="D4" s="279"/>
      <c r="E4" s="279"/>
      <c r="F4" s="279"/>
      <c r="G4" s="279"/>
      <c r="H4" s="279"/>
      <c r="I4" s="279"/>
      <c r="J4" s="279"/>
      <c r="K4" s="279"/>
      <c r="L4" s="279"/>
      <c r="M4" s="279"/>
      <c r="N4" s="279"/>
      <c r="O4" s="279"/>
    </row>
    <row r="5" spans="1:18">
      <c r="A5" s="279"/>
      <c r="B5" s="279"/>
      <c r="C5" s="279"/>
      <c r="D5" s="279"/>
      <c r="E5" s="279"/>
      <c r="F5" s="279"/>
      <c r="G5" s="279"/>
      <c r="H5" s="279"/>
      <c r="I5" s="279"/>
      <c r="J5" s="279"/>
      <c r="K5" s="279"/>
      <c r="L5" s="279"/>
      <c r="M5" s="279"/>
      <c r="N5" s="279"/>
      <c r="O5" s="279"/>
      <c r="R5" s="19"/>
    </row>
    <row r="6" spans="1:18">
      <c r="A6" s="279"/>
      <c r="B6" s="279"/>
      <c r="C6" s="279"/>
      <c r="D6" s="279"/>
      <c r="E6" s="279"/>
      <c r="F6" s="279"/>
      <c r="G6" s="279"/>
      <c r="H6" s="279"/>
      <c r="I6" s="279"/>
      <c r="J6" s="279"/>
      <c r="K6" s="279"/>
      <c r="L6" s="279"/>
      <c r="M6" s="279"/>
      <c r="N6" s="279"/>
      <c r="O6" s="279"/>
    </row>
    <row r="7" spans="1:18">
      <c r="A7" s="279"/>
      <c r="B7" s="279"/>
      <c r="C7" s="279"/>
      <c r="D7" s="279"/>
      <c r="E7" s="279"/>
      <c r="F7" s="279"/>
      <c r="G7" s="279"/>
      <c r="H7" s="279"/>
      <c r="I7" s="279"/>
      <c r="J7" s="279"/>
      <c r="K7" s="279"/>
      <c r="L7" s="279"/>
      <c r="M7" s="279"/>
      <c r="N7" s="279"/>
      <c r="O7" s="279"/>
    </row>
    <row r="8" spans="1:18">
      <c r="A8" s="279"/>
      <c r="B8" s="279"/>
      <c r="C8" s="279"/>
      <c r="D8" s="279"/>
      <c r="E8" s="279"/>
      <c r="F8" s="279"/>
      <c r="G8" s="279"/>
      <c r="H8" s="279"/>
      <c r="I8" s="279"/>
      <c r="J8" s="279"/>
      <c r="K8" s="279"/>
      <c r="L8" s="279"/>
      <c r="M8" s="279"/>
      <c r="N8" s="279"/>
      <c r="O8" s="279"/>
    </row>
    <row r="9" spans="1:18">
      <c r="A9" s="279"/>
      <c r="B9" s="279"/>
      <c r="C9" s="279"/>
      <c r="D9" s="279"/>
      <c r="E9" s="279"/>
      <c r="F9" s="279"/>
      <c r="G9" s="279"/>
      <c r="H9" s="279"/>
      <c r="I9" s="279"/>
      <c r="J9" s="279"/>
      <c r="K9" s="279"/>
      <c r="L9" s="279"/>
      <c r="M9" s="279"/>
      <c r="N9" s="279"/>
      <c r="O9" s="279"/>
    </row>
    <row r="10" spans="1:18">
      <c r="A10" s="279"/>
      <c r="B10" s="279"/>
      <c r="C10" s="279"/>
      <c r="D10" s="279"/>
      <c r="E10" s="279"/>
      <c r="F10" s="279"/>
      <c r="G10" s="279"/>
      <c r="H10" s="279"/>
      <c r="I10" s="279"/>
      <c r="J10" s="279"/>
      <c r="K10" s="279"/>
      <c r="L10" s="279"/>
      <c r="M10" s="279"/>
      <c r="N10" s="279"/>
      <c r="O10" s="279"/>
    </row>
    <row r="11" spans="1:18">
      <c r="A11" s="279"/>
      <c r="B11" s="279"/>
      <c r="C11" s="279"/>
      <c r="D11" s="279"/>
      <c r="E11" s="279"/>
      <c r="F11" s="279"/>
      <c r="G11" s="279"/>
      <c r="H11" s="279"/>
      <c r="I11" s="279"/>
      <c r="J11" s="279"/>
      <c r="K11" s="279"/>
      <c r="L11" s="279"/>
      <c r="M11" s="279"/>
      <c r="N11" s="279"/>
      <c r="O11" s="279"/>
    </row>
    <row r="12" spans="1:18">
      <c r="A12" s="279"/>
      <c r="B12" s="279"/>
      <c r="C12" s="279"/>
      <c r="D12" s="279"/>
      <c r="E12" s="279"/>
      <c r="F12" s="279"/>
      <c r="G12" s="279"/>
      <c r="H12" s="279"/>
      <c r="I12" s="279"/>
      <c r="J12" s="279"/>
      <c r="K12" s="279"/>
      <c r="L12" s="279"/>
      <c r="M12" s="279"/>
      <c r="N12" s="279"/>
      <c r="O12" s="279"/>
    </row>
    <row r="13" spans="1:18">
      <c r="A13" s="279"/>
      <c r="B13" s="279"/>
      <c r="C13" s="279"/>
      <c r="D13" s="279"/>
      <c r="E13" s="279"/>
      <c r="F13" s="279"/>
      <c r="G13" s="279"/>
      <c r="H13" s="279"/>
      <c r="I13" s="279"/>
      <c r="J13" s="279"/>
      <c r="K13" s="279"/>
      <c r="L13" s="279"/>
      <c r="M13" s="279"/>
      <c r="N13" s="279"/>
      <c r="O13" s="279"/>
    </row>
    <row r="14" spans="1:18">
      <c r="A14" s="279"/>
      <c r="B14" s="279"/>
      <c r="C14" s="279"/>
      <c r="D14" s="279"/>
      <c r="E14" s="279"/>
      <c r="F14" s="279"/>
      <c r="G14" s="279"/>
      <c r="H14" s="279"/>
      <c r="I14" s="279"/>
      <c r="J14" s="279"/>
      <c r="K14" s="279"/>
      <c r="L14" s="279"/>
      <c r="M14" s="279"/>
      <c r="N14" s="279"/>
      <c r="O14" s="279"/>
    </row>
    <row r="15" spans="1:18">
      <c r="A15" s="279"/>
      <c r="B15" s="279"/>
      <c r="C15" s="279"/>
      <c r="D15" s="279"/>
      <c r="E15" s="279"/>
      <c r="F15" s="279"/>
      <c r="G15" s="279"/>
      <c r="H15" s="279"/>
      <c r="I15" s="279"/>
      <c r="J15" s="279"/>
      <c r="K15" s="279"/>
      <c r="L15" s="279"/>
      <c r="M15" s="279"/>
      <c r="N15" s="279"/>
      <c r="O15" s="279"/>
    </row>
    <row r="16" spans="1:18">
      <c r="A16" s="279"/>
      <c r="B16" s="279"/>
      <c r="C16" s="279"/>
      <c r="D16" s="279"/>
      <c r="E16" s="279"/>
      <c r="F16" s="279"/>
      <c r="G16" s="279"/>
      <c r="H16" s="279"/>
      <c r="I16" s="279"/>
      <c r="J16" s="279"/>
      <c r="K16" s="279"/>
      <c r="L16" s="279"/>
      <c r="M16" s="279"/>
      <c r="N16" s="279"/>
      <c r="O16" s="279"/>
    </row>
    <row r="17" spans="1:15">
      <c r="A17" s="279"/>
      <c r="B17" s="279"/>
      <c r="C17" s="279"/>
      <c r="D17" s="279"/>
      <c r="E17" s="279"/>
      <c r="F17" s="279"/>
      <c r="G17" s="279"/>
      <c r="H17" s="279"/>
      <c r="I17" s="279"/>
      <c r="J17" s="279"/>
      <c r="K17" s="279"/>
      <c r="L17" s="279"/>
      <c r="M17" s="279"/>
      <c r="N17" s="279"/>
      <c r="O17" s="279"/>
    </row>
    <row r="18" spans="1:15">
      <c r="A18" s="279"/>
      <c r="B18" s="279"/>
      <c r="C18" s="279"/>
      <c r="D18" s="279"/>
      <c r="E18" s="279"/>
      <c r="F18" s="279"/>
      <c r="G18" s="279"/>
      <c r="H18" s="279"/>
      <c r="I18" s="279"/>
      <c r="J18" s="279"/>
      <c r="K18" s="279"/>
      <c r="L18" s="279"/>
      <c r="M18" s="279"/>
      <c r="N18" s="279"/>
      <c r="O18" s="279"/>
    </row>
    <row r="19" spans="1:15">
      <c r="A19" s="279"/>
      <c r="B19" s="279"/>
      <c r="C19" s="279"/>
      <c r="D19" s="279"/>
      <c r="E19" s="279"/>
      <c r="F19" s="279"/>
      <c r="G19" s="279"/>
      <c r="H19" s="279"/>
      <c r="I19" s="279"/>
      <c r="J19" s="279"/>
      <c r="K19" s="279"/>
      <c r="L19" s="279"/>
      <c r="M19" s="279"/>
      <c r="N19" s="279"/>
      <c r="O19" s="279"/>
    </row>
    <row r="20" spans="1:15">
      <c r="A20" s="279"/>
      <c r="B20" s="279"/>
      <c r="C20" s="279"/>
      <c r="D20" s="279"/>
      <c r="E20" s="279"/>
      <c r="F20" s="279"/>
      <c r="G20" s="279"/>
      <c r="H20" s="279"/>
      <c r="I20" s="279"/>
      <c r="J20" s="279"/>
      <c r="K20" s="279"/>
      <c r="L20" s="279"/>
      <c r="M20" s="279"/>
      <c r="N20" s="279"/>
      <c r="O20" s="279"/>
    </row>
    <row r="21" spans="1:15">
      <c r="A21" s="279"/>
      <c r="B21" s="279"/>
      <c r="C21" s="279"/>
      <c r="D21" s="279"/>
      <c r="E21" s="279"/>
      <c r="F21" s="279"/>
      <c r="G21" s="279"/>
      <c r="H21" s="279"/>
      <c r="I21" s="279"/>
      <c r="J21" s="279"/>
      <c r="K21" s="279"/>
      <c r="L21" s="279"/>
      <c r="M21" s="279"/>
      <c r="N21" s="279"/>
      <c r="O21" s="279"/>
    </row>
    <row r="22" spans="1:15">
      <c r="A22" s="279"/>
      <c r="B22" s="279"/>
      <c r="C22" s="279"/>
      <c r="D22" s="279"/>
      <c r="E22" s="279"/>
      <c r="F22" s="279"/>
      <c r="G22" s="279"/>
      <c r="H22" s="279"/>
      <c r="I22" s="279"/>
      <c r="J22" s="279"/>
      <c r="K22" s="279"/>
      <c r="L22" s="279"/>
      <c r="M22" s="279"/>
      <c r="N22" s="279"/>
      <c r="O22" s="279"/>
    </row>
    <row r="23" spans="1:15">
      <c r="A23" s="279"/>
      <c r="B23" s="279"/>
      <c r="C23" s="279"/>
      <c r="D23" s="279"/>
      <c r="E23" s="279"/>
      <c r="F23" s="279"/>
      <c r="G23" s="279"/>
      <c r="H23" s="279"/>
      <c r="I23" s="279"/>
      <c r="J23" s="279"/>
      <c r="K23" s="279"/>
      <c r="L23" s="279"/>
      <c r="M23" s="279"/>
      <c r="N23" s="279"/>
      <c r="O23" s="279"/>
    </row>
    <row r="24" spans="1:15">
      <c r="A24" s="279"/>
      <c r="B24" s="279"/>
      <c r="C24" s="279"/>
      <c r="D24" s="279"/>
      <c r="E24" s="279"/>
      <c r="F24" s="279"/>
      <c r="G24" s="279"/>
      <c r="H24" s="279"/>
      <c r="I24" s="279"/>
      <c r="J24" s="279"/>
      <c r="K24" s="279"/>
      <c r="L24" s="279"/>
      <c r="M24" s="279"/>
      <c r="N24" s="279"/>
      <c r="O24" s="279"/>
    </row>
    <row r="25" spans="1:15">
      <c r="A25" s="279"/>
      <c r="B25" s="279"/>
      <c r="C25" s="279"/>
      <c r="D25" s="279"/>
      <c r="E25" s="279"/>
      <c r="F25" s="279"/>
      <c r="G25" s="279"/>
      <c r="H25" s="279"/>
      <c r="I25" s="279"/>
      <c r="J25" s="279"/>
      <c r="K25" s="279"/>
      <c r="L25" s="279"/>
      <c r="M25" s="279"/>
      <c r="N25" s="279"/>
      <c r="O25" s="279"/>
    </row>
    <row r="26" spans="1:15">
      <c r="A26" s="279"/>
      <c r="B26" s="279"/>
      <c r="C26" s="279"/>
      <c r="D26" s="279"/>
      <c r="E26" s="279"/>
      <c r="F26" s="279"/>
      <c r="G26" s="279"/>
      <c r="H26" s="279"/>
      <c r="I26" s="279"/>
      <c r="J26" s="279"/>
      <c r="K26" s="279"/>
      <c r="L26" s="279"/>
      <c r="M26" s="279"/>
      <c r="N26" s="279"/>
      <c r="O26" s="279"/>
    </row>
    <row r="27" spans="1:15">
      <c r="A27" s="279"/>
      <c r="B27" s="279"/>
      <c r="C27" s="279"/>
      <c r="D27" s="279"/>
      <c r="E27" s="279"/>
      <c r="F27" s="279"/>
      <c r="G27" s="279"/>
      <c r="H27" s="279"/>
      <c r="I27" s="279"/>
      <c r="J27" s="279"/>
      <c r="K27" s="279"/>
      <c r="L27" s="279"/>
      <c r="M27" s="279"/>
      <c r="N27" s="279"/>
      <c r="O27" s="279"/>
    </row>
    <row r="28" spans="1:15">
      <c r="A28" s="279"/>
      <c r="B28" s="279"/>
      <c r="C28" s="279"/>
      <c r="D28" s="279"/>
      <c r="E28" s="279"/>
      <c r="F28" s="279"/>
      <c r="G28" s="279"/>
      <c r="H28" s="279"/>
      <c r="I28" s="279"/>
      <c r="J28" s="279"/>
      <c r="K28" s="279"/>
      <c r="L28" s="279"/>
      <c r="M28" s="279"/>
      <c r="N28" s="279"/>
      <c r="O28" s="279"/>
    </row>
    <row r="29" spans="1:15">
      <c r="A29" s="279"/>
      <c r="B29" s="279"/>
      <c r="C29" s="279"/>
      <c r="D29" s="279"/>
      <c r="E29" s="279"/>
      <c r="F29" s="279"/>
      <c r="G29" s="279"/>
      <c r="H29" s="279"/>
      <c r="I29" s="279"/>
      <c r="J29" s="279"/>
      <c r="K29" s="279"/>
      <c r="L29" s="279"/>
      <c r="M29" s="279"/>
      <c r="N29" s="279"/>
      <c r="O29" s="279"/>
    </row>
  </sheetData>
  <mergeCells count="1">
    <mergeCell ref="A1:O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3:P58"/>
  <sheetViews>
    <sheetView workbookViewId="0"/>
  </sheetViews>
  <sheetFormatPr baseColWidth="10" defaultColWidth="11.5" defaultRowHeight="13"/>
  <cols>
    <col min="1" max="1" width="60" customWidth="1"/>
    <col min="2" max="2" width="15.83203125" bestFit="1" customWidth="1"/>
    <col min="3" max="3" width="16.5" bestFit="1" customWidth="1"/>
    <col min="4" max="4" width="16.6640625" bestFit="1" customWidth="1"/>
    <col min="5" max="5" width="68.5" customWidth="1"/>
  </cols>
  <sheetData>
    <row r="13" spans="6:8">
      <c r="F13" t="s">
        <v>55</v>
      </c>
    </row>
    <row r="15" spans="6:8">
      <c r="G15" t="s">
        <v>15</v>
      </c>
      <c r="H15" t="s">
        <v>16</v>
      </c>
    </row>
    <row r="16" spans="6:8">
      <c r="F16" t="s">
        <v>48</v>
      </c>
      <c r="G16">
        <v>14100</v>
      </c>
      <c r="H16">
        <v>14000</v>
      </c>
    </row>
    <row r="17" spans="6:8">
      <c r="F17" t="s">
        <v>49</v>
      </c>
      <c r="G17">
        <v>16600</v>
      </c>
      <c r="H17">
        <v>30800</v>
      </c>
    </row>
    <row r="18" spans="6:8">
      <c r="F18" t="s">
        <v>50</v>
      </c>
      <c r="G18">
        <v>11800</v>
      </c>
      <c r="H18">
        <v>45900</v>
      </c>
    </row>
    <row r="19" spans="6:8">
      <c r="F19" t="s">
        <v>51</v>
      </c>
      <c r="G19">
        <v>12400</v>
      </c>
      <c r="H19">
        <v>33000</v>
      </c>
    </row>
    <row r="20" spans="6:8">
      <c r="F20" t="s">
        <v>52</v>
      </c>
      <c r="G20">
        <v>6600</v>
      </c>
      <c r="H20">
        <v>9100</v>
      </c>
    </row>
    <row r="21" spans="6:8">
      <c r="F21" t="s">
        <v>53</v>
      </c>
      <c r="G21">
        <v>21000</v>
      </c>
      <c r="H21">
        <v>31600</v>
      </c>
    </row>
    <row r="22" spans="6:8">
      <c r="F22" t="s">
        <v>54</v>
      </c>
      <c r="G22">
        <v>7200</v>
      </c>
      <c r="H22">
        <v>28900</v>
      </c>
    </row>
    <row r="23" spans="6:8">
      <c r="G23" s="1">
        <f>AVERAGE(G16:G22)</f>
        <v>12814.285714285714</v>
      </c>
      <c r="H23" s="1">
        <f>AVERAGE(H16:H22)</f>
        <v>27614.285714285714</v>
      </c>
    </row>
    <row r="25" spans="6:8">
      <c r="F25" t="s">
        <v>71</v>
      </c>
    </row>
    <row r="33" spans="1:16">
      <c r="M33" s="1" t="s">
        <v>69</v>
      </c>
    </row>
    <row r="34" spans="1:16">
      <c r="A34" s="1" t="s">
        <v>74</v>
      </c>
      <c r="B34" s="1" t="s">
        <v>82</v>
      </c>
      <c r="C34" s="1" t="s">
        <v>84</v>
      </c>
      <c r="D34" s="1" t="s">
        <v>83</v>
      </c>
      <c r="M34" t="s">
        <v>15</v>
      </c>
      <c r="N34" t="s">
        <v>58</v>
      </c>
      <c r="O34" t="s">
        <v>16</v>
      </c>
    </row>
    <row r="35" spans="1:16">
      <c r="A35" t="s">
        <v>56</v>
      </c>
      <c r="B35" s="44"/>
      <c r="C35" s="48"/>
      <c r="D35" s="46"/>
      <c r="P35" t="s">
        <v>70</v>
      </c>
    </row>
    <row r="36" spans="1:16">
      <c r="A36" t="s">
        <v>57</v>
      </c>
      <c r="B36" s="45"/>
      <c r="C36" s="49"/>
      <c r="D36" s="47"/>
    </row>
    <row r="37" spans="1:16">
      <c r="A37" t="s">
        <v>75</v>
      </c>
      <c r="B37" s="44"/>
      <c r="C37" s="48"/>
      <c r="D37" s="46"/>
      <c r="P37" t="s">
        <v>63</v>
      </c>
    </row>
    <row r="38" spans="1:16">
      <c r="A38" t="s">
        <v>59</v>
      </c>
      <c r="B38" s="44"/>
      <c r="C38" s="48"/>
      <c r="D38" s="46"/>
      <c r="P38" t="s">
        <v>64</v>
      </c>
    </row>
    <row r="39" spans="1:16">
      <c r="A39" t="s">
        <v>60</v>
      </c>
      <c r="B39" s="45"/>
      <c r="C39" s="49"/>
      <c r="D39" s="47"/>
    </row>
    <row r="40" spans="1:16">
      <c r="A40" t="s">
        <v>61</v>
      </c>
      <c r="B40" s="45"/>
      <c r="C40" s="49"/>
      <c r="D40" s="47"/>
      <c r="P40" t="s">
        <v>65</v>
      </c>
    </row>
    <row r="41" spans="1:16">
      <c r="A41" t="s">
        <v>62</v>
      </c>
      <c r="B41" s="45">
        <f>B39-B40</f>
        <v>0</v>
      </c>
      <c r="C41" s="49">
        <f>C39-C40</f>
        <v>0</v>
      </c>
      <c r="D41" s="47">
        <f>D39-D40</f>
        <v>0</v>
      </c>
      <c r="P41" t="s">
        <v>66</v>
      </c>
    </row>
    <row r="42" spans="1:16">
      <c r="A42" s="8" t="s">
        <v>19</v>
      </c>
      <c r="B42" s="50">
        <f>C42*0.5</f>
        <v>13807</v>
      </c>
      <c r="C42" s="51">
        <v>27614</v>
      </c>
      <c r="D42" s="52">
        <f>C42*1.5</f>
        <v>41421</v>
      </c>
      <c r="E42" t="s">
        <v>85</v>
      </c>
    </row>
    <row r="43" spans="1:16">
      <c r="A43" s="8" t="s">
        <v>20</v>
      </c>
      <c r="B43" s="50">
        <f>C43*0.5</f>
        <v>6407</v>
      </c>
      <c r="C43" s="51">
        <v>12814</v>
      </c>
      <c r="D43" s="52">
        <f>C43*1.5</f>
        <v>19221</v>
      </c>
      <c r="E43" t="s">
        <v>85</v>
      </c>
    </row>
    <row r="45" spans="1:16">
      <c r="A45" s="1" t="s">
        <v>76</v>
      </c>
      <c r="P45" t="s">
        <v>67</v>
      </c>
    </row>
    <row r="46" spans="1:16">
      <c r="A46" t="s">
        <v>63</v>
      </c>
      <c r="B46" s="44"/>
      <c r="C46" s="48"/>
      <c r="D46" s="46"/>
      <c r="P46" t="s">
        <v>68</v>
      </c>
    </row>
    <row r="47" spans="1:16">
      <c r="A47" t="s">
        <v>64</v>
      </c>
      <c r="B47" s="44"/>
      <c r="C47" s="48"/>
      <c r="D47" s="46"/>
    </row>
    <row r="48" spans="1:16">
      <c r="A48" t="s">
        <v>77</v>
      </c>
      <c r="B48" s="44"/>
      <c r="C48" s="48"/>
      <c r="D48" s="46"/>
    </row>
    <row r="49" spans="1:5">
      <c r="A49" t="s">
        <v>66</v>
      </c>
      <c r="B49" s="44"/>
      <c r="C49" s="48"/>
      <c r="D49" s="46"/>
    </row>
    <row r="50" spans="1:5">
      <c r="A50" t="s">
        <v>67</v>
      </c>
      <c r="B50" s="44">
        <v>268000</v>
      </c>
      <c r="C50" s="48">
        <v>400000</v>
      </c>
      <c r="D50" s="46">
        <v>900000</v>
      </c>
      <c r="E50" s="36" t="s">
        <v>86</v>
      </c>
    </row>
    <row r="51" spans="1:5">
      <c r="A51" t="s">
        <v>68</v>
      </c>
      <c r="B51" s="44"/>
      <c r="C51" s="48"/>
      <c r="D51" s="46"/>
    </row>
    <row r="53" spans="1:5">
      <c r="A53" s="1" t="s">
        <v>78</v>
      </c>
    </row>
    <row r="54" spans="1:5">
      <c r="A54" t="s">
        <v>72</v>
      </c>
      <c r="B54" s="44"/>
      <c r="C54" s="48"/>
      <c r="D54" s="46"/>
    </row>
    <row r="55" spans="1:5">
      <c r="A55" t="s">
        <v>73</v>
      </c>
      <c r="B55" s="44"/>
      <c r="C55" s="48"/>
      <c r="D55" s="46"/>
    </row>
    <row r="56" spans="1:5">
      <c r="A56" t="s">
        <v>79</v>
      </c>
      <c r="B56" s="44"/>
      <c r="C56" s="48"/>
      <c r="D56" s="46"/>
    </row>
    <row r="57" spans="1:5">
      <c r="A57" t="s">
        <v>80</v>
      </c>
      <c r="B57" s="44"/>
      <c r="C57" s="48"/>
      <c r="D57" s="46"/>
    </row>
    <row r="58" spans="1:5">
      <c r="A58" t="s">
        <v>81</v>
      </c>
      <c r="B58" s="44"/>
      <c r="C58" s="48"/>
      <c r="D58" s="4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6:R167"/>
  <sheetViews>
    <sheetView showGridLines="0" tabSelected="1" topLeftCell="A48" zoomScale="68" zoomScaleNormal="80" workbookViewId="0">
      <selection activeCell="I19" sqref="I19"/>
    </sheetView>
  </sheetViews>
  <sheetFormatPr baseColWidth="10" defaultColWidth="8.83203125" defaultRowHeight="13"/>
  <cols>
    <col min="1" max="1" width="9" bestFit="1" customWidth="1"/>
    <col min="2" max="2" width="42.33203125" customWidth="1"/>
    <col min="3" max="4" width="18" customWidth="1"/>
    <col min="5" max="5" width="14.83203125" customWidth="1"/>
    <col min="6" max="6" width="20.5" customWidth="1"/>
    <col min="7" max="7" width="14.1640625" customWidth="1"/>
    <col min="8" max="8" width="14.33203125" customWidth="1"/>
    <col min="9" max="9" width="18.1640625" customWidth="1"/>
    <col min="10" max="10" width="14" bestFit="1" customWidth="1"/>
    <col min="11" max="11" width="14.1640625" bestFit="1" customWidth="1"/>
    <col min="12" max="12" width="14.33203125" bestFit="1" customWidth="1"/>
    <col min="13" max="13" width="14.6640625" bestFit="1" customWidth="1"/>
    <col min="14" max="14" width="13.6640625" bestFit="1" customWidth="1"/>
    <col min="15" max="15" width="14.1640625" bestFit="1" customWidth="1"/>
    <col min="16" max="16" width="14.6640625" bestFit="1" customWidth="1"/>
    <col min="17" max="17" width="14.1640625" bestFit="1" customWidth="1"/>
    <col min="18" max="18" width="13.6640625" bestFit="1" customWidth="1"/>
    <col min="19" max="19" width="14.6640625" bestFit="1" customWidth="1"/>
  </cols>
  <sheetData>
    <row r="6" spans="2:9" ht="18">
      <c r="B6" s="266" t="s">
        <v>379</v>
      </c>
      <c r="I6" s="69"/>
    </row>
    <row r="8" spans="2:9" ht="31" customHeight="1">
      <c r="B8" s="280" t="s">
        <v>380</v>
      </c>
      <c r="C8" s="280"/>
      <c r="D8" s="280"/>
    </row>
    <row r="9" spans="2:9" ht="37" customHeight="1">
      <c r="B9" s="280"/>
      <c r="C9" s="280"/>
      <c r="D9" s="280"/>
    </row>
    <row r="10" spans="2:9">
      <c r="B10" s="280"/>
      <c r="C10" s="280"/>
      <c r="D10" s="280"/>
    </row>
    <row r="13" spans="2:9" ht="31">
      <c r="B13" s="203" t="s">
        <v>336</v>
      </c>
    </row>
    <row r="14" spans="2:9" ht="23">
      <c r="B14" s="70"/>
    </row>
    <row r="15" spans="2:9">
      <c r="B15" s="182" t="s">
        <v>113</v>
      </c>
      <c r="C15" s="183">
        <v>43572</v>
      </c>
    </row>
    <row r="16" spans="2:9">
      <c r="B16" s="184" t="s">
        <v>118</v>
      </c>
      <c r="C16" s="184" t="s">
        <v>378</v>
      </c>
    </row>
    <row r="17" spans="1:13">
      <c r="B17" t="s">
        <v>339</v>
      </c>
      <c r="C17" t="s">
        <v>377</v>
      </c>
    </row>
    <row r="19" spans="1:13" ht="17">
      <c r="A19" s="62"/>
      <c r="B19" s="176"/>
      <c r="C19" s="176"/>
      <c r="D19" s="170"/>
      <c r="E19" s="62"/>
      <c r="F19" s="62"/>
      <c r="G19" s="62"/>
      <c r="H19" s="62"/>
      <c r="I19" s="62"/>
      <c r="J19" s="62"/>
      <c r="K19" s="62"/>
      <c r="L19" s="62"/>
      <c r="M19" s="62"/>
    </row>
    <row r="20" spans="1:13" ht="19">
      <c r="A20" s="62"/>
      <c r="B20" s="179" t="str">
        <f>"Model Summary for "&amp;IF(Inputs!B21=3,"'Optimal Program'",IF(Inputs!B21=2,"'Basic Program'",IF(Inputs!B21=1,"'Pilot Program'")))</f>
        <v>Model Summary for 'Optimal Program'</v>
      </c>
      <c r="C20" s="167"/>
      <c r="D20" s="168"/>
      <c r="E20" s="62"/>
      <c r="F20" s="62"/>
      <c r="G20" s="62"/>
      <c r="H20" s="62"/>
      <c r="I20" s="62"/>
      <c r="J20" s="62"/>
      <c r="K20" s="62"/>
      <c r="L20" s="62"/>
      <c r="M20" s="62"/>
    </row>
    <row r="21" spans="1:13" ht="15">
      <c r="A21" s="62"/>
      <c r="B21" s="169" t="s">
        <v>117</v>
      </c>
      <c r="C21" s="170"/>
      <c r="D21" s="62"/>
      <c r="E21" s="62"/>
      <c r="F21" s="62"/>
      <c r="G21" s="62"/>
      <c r="H21" s="62"/>
      <c r="I21" s="62"/>
      <c r="J21" s="62"/>
      <c r="K21" s="62"/>
      <c r="L21" s="62"/>
      <c r="M21" s="62"/>
    </row>
    <row r="22" spans="1:13" ht="15">
      <c r="A22" s="62"/>
      <c r="B22" s="170"/>
      <c r="C22" s="167"/>
      <c r="D22" s="168"/>
      <c r="E22" s="62"/>
      <c r="F22" s="62"/>
      <c r="G22" s="62"/>
      <c r="H22" s="62"/>
      <c r="I22" s="62"/>
      <c r="J22" s="62"/>
      <c r="K22" s="62"/>
      <c r="L22" s="62"/>
      <c r="M22" s="62"/>
    </row>
    <row r="23" spans="1:13" ht="17">
      <c r="A23" s="62">
        <v>1</v>
      </c>
      <c r="B23" s="171" t="str">
        <f>"Reduces "&amp;I147 &amp;" by  " &amp; TEXT(K147,"0%") &amp; ",  resulting in  " &amp; TEXT(J147,"$#,##0") &amp; "  savings"</f>
        <v>Reduces Workers Compensation by  50%,  resulting in  $2,547,002  savings</v>
      </c>
      <c r="C23" s="172"/>
      <c r="D23" s="173"/>
      <c r="E23" s="62"/>
      <c r="F23" s="62"/>
      <c r="G23" s="62"/>
      <c r="H23" s="62"/>
      <c r="I23" s="62"/>
      <c r="J23" s="62"/>
      <c r="K23" s="62"/>
      <c r="L23" s="62"/>
      <c r="M23" s="62"/>
    </row>
    <row r="24" spans="1:13" ht="17">
      <c r="A24" s="62">
        <v>2</v>
      </c>
      <c r="B24" s="171" t="str">
        <f>"Reduces "&amp;I148 &amp;" by  " &amp; TEXT(K148,"0%") &amp; ",  resulting in  " &amp; TEXT(J148,"$#,##0") &amp; "  savings"</f>
        <v>Reduces Employee Turnover by  50%,  resulting in  $2,373,686  savings</v>
      </c>
      <c r="C24" s="172"/>
      <c r="D24" s="173"/>
      <c r="E24" s="62"/>
      <c r="F24" s="62"/>
      <c r="G24" s="62"/>
      <c r="H24" s="62"/>
      <c r="I24" s="62"/>
      <c r="J24" s="62"/>
      <c r="K24" s="62"/>
      <c r="L24" s="62"/>
      <c r="M24" s="62"/>
    </row>
    <row r="25" spans="1:13" ht="17">
      <c r="A25" s="62">
        <v>3</v>
      </c>
      <c r="B25" s="171" t="str">
        <f>"Reduces "&amp;I149 &amp;" by  " &amp; TEXT(K149,"0%") &amp; ",  resulting in  " &amp; TEXT(J149,"$#,##0") &amp; "  savings"</f>
        <v>Reduces Stage 1-2 HAPIs by  20%,  resulting in  $1,936,743  savings</v>
      </c>
      <c r="C25" s="172"/>
      <c r="D25" s="173"/>
      <c r="E25" s="62"/>
      <c r="F25" s="62"/>
      <c r="G25" s="62"/>
      <c r="H25" s="62"/>
      <c r="I25" s="62"/>
      <c r="J25" s="62"/>
      <c r="K25" s="62"/>
      <c r="L25" s="62"/>
      <c r="M25" s="62"/>
    </row>
    <row r="26" spans="1:13" ht="17">
      <c r="A26" s="62">
        <v>4</v>
      </c>
      <c r="B26" s="171" t="str">
        <f>"Reduces "&amp;I150 &amp;" by  " &amp; TEXT(K150,"0%") &amp; ",  resulting in  " &amp; TEXT(J150,"$#,##0") &amp; "  savings"</f>
        <v>Reduces Lost &amp; Restricted Days by  50%,  resulting in  $1,673,091  savings</v>
      </c>
      <c r="C26" s="172"/>
      <c r="D26" s="173"/>
      <c r="E26" s="62"/>
      <c r="F26" s="62"/>
      <c r="G26" s="62"/>
      <c r="H26" s="62"/>
      <c r="I26" s="62"/>
      <c r="J26" s="62"/>
      <c r="K26" s="62"/>
      <c r="L26" s="62"/>
      <c r="M26" s="62"/>
    </row>
    <row r="27" spans="1:13" ht="17">
      <c r="A27" s="62">
        <v>5</v>
      </c>
      <c r="B27" s="171" t="str">
        <f>"Reduces "&amp;I151 &amp;" by  " &amp; TEXT(K151,"0%") &amp; ",  resulting in  " &amp; TEXT(J151,"$#,##0") &amp; "  savings"</f>
        <v>Reduces Stage 3-4 HAPIs by  30%,  resulting in  $1,155,970  savings</v>
      </c>
      <c r="C27" s="172"/>
      <c r="D27" s="173"/>
      <c r="E27" s="62"/>
      <c r="F27" s="62"/>
      <c r="G27" s="62"/>
      <c r="H27" s="62"/>
      <c r="I27" s="62"/>
      <c r="J27" s="62"/>
      <c r="K27" s="62"/>
      <c r="L27" s="62"/>
      <c r="M27" s="62"/>
    </row>
    <row r="28" spans="1:13" ht="17">
      <c r="A28" s="62"/>
      <c r="B28" s="174"/>
      <c r="C28" s="172"/>
      <c r="D28" s="173"/>
      <c r="E28" s="62"/>
      <c r="F28" s="62"/>
      <c r="G28" s="62"/>
      <c r="H28" s="62"/>
      <c r="I28" s="62"/>
      <c r="J28" s="62"/>
      <c r="K28" s="62"/>
      <c r="L28" s="62"/>
      <c r="M28" s="62"/>
    </row>
    <row r="29" spans="1:13" ht="18">
      <c r="A29" s="62"/>
      <c r="B29" s="174" t="s">
        <v>106</v>
      </c>
      <c r="C29" s="175" t="str">
        <f>"$"&amp;ROUND((SUM(D120:D126)/1000000),1)&amp;"M"</f>
        <v>$10.9M</v>
      </c>
      <c r="D29" s="170"/>
      <c r="E29" s="62"/>
      <c r="F29" s="62"/>
      <c r="G29" s="62"/>
      <c r="H29" s="62"/>
      <c r="I29" s="62"/>
      <c r="J29" s="62"/>
      <c r="K29" s="62"/>
      <c r="L29" s="62"/>
      <c r="M29" s="62"/>
    </row>
    <row r="30" spans="1:13" ht="18">
      <c r="A30" s="62"/>
      <c r="B30" s="174" t="s">
        <v>112</v>
      </c>
      <c r="C30" s="175" t="str">
        <f>"$"&amp;ROUND((SUM(D127:D128)/1000000),1)&amp;"M"</f>
        <v>$-7.6M</v>
      </c>
      <c r="D30" s="170"/>
      <c r="E30" s="62"/>
      <c r="F30" s="62"/>
      <c r="G30" s="62"/>
      <c r="H30" s="62"/>
      <c r="I30" s="62"/>
      <c r="J30" s="62"/>
      <c r="K30" s="62"/>
      <c r="L30" s="62"/>
      <c r="M30" s="62"/>
    </row>
    <row r="31" spans="1:13" ht="17">
      <c r="A31" s="62"/>
      <c r="B31" s="180" t="s">
        <v>314</v>
      </c>
      <c r="C31" s="181" t="str">
        <f>"$"&amp;ROUND((SUM(D117)/1000000),1)&amp;"M  NPV"</f>
        <v>$3.3M  NPV</v>
      </c>
      <c r="D31" s="170"/>
      <c r="E31" s="62"/>
      <c r="F31" s="62"/>
      <c r="G31" s="62"/>
      <c r="H31" s="62"/>
      <c r="I31" s="62"/>
      <c r="J31" s="62"/>
      <c r="K31" s="62"/>
      <c r="L31" s="62"/>
      <c r="M31" s="62"/>
    </row>
    <row r="32" spans="1:13" ht="17">
      <c r="A32" s="62"/>
      <c r="B32" s="176"/>
      <c r="C32" s="176"/>
      <c r="D32" s="170"/>
      <c r="E32" s="62"/>
      <c r="F32" s="62"/>
      <c r="G32" s="62"/>
      <c r="H32" s="62"/>
      <c r="I32" s="62"/>
      <c r="J32" s="62"/>
      <c r="K32" s="62"/>
      <c r="L32" s="62"/>
      <c r="M32" s="62"/>
    </row>
    <row r="33" spans="1:18" ht="17">
      <c r="A33" s="62"/>
      <c r="B33" s="177" t="s">
        <v>315</v>
      </c>
      <c r="C33" s="177">
        <f>Calculations!C92</f>
        <v>0.37163827149008422</v>
      </c>
      <c r="D33" s="170"/>
      <c r="E33" s="62"/>
      <c r="F33" s="62"/>
      <c r="G33" s="62"/>
      <c r="H33" s="62"/>
      <c r="I33" s="62"/>
      <c r="J33" s="62"/>
      <c r="K33" s="62"/>
      <c r="L33" s="62"/>
      <c r="M33" s="62"/>
    </row>
    <row r="34" spans="1:18" ht="17">
      <c r="A34" s="62"/>
      <c r="B34" s="178" t="str">
        <f>"Internal Rate of Return (IRR)"</f>
        <v>Internal Rate of Return (IRR)</v>
      </c>
      <c r="C34" s="177">
        <f>Calculations!C141</f>
        <v>0.65737595004803229</v>
      </c>
      <c r="D34" s="170"/>
      <c r="E34" s="62"/>
      <c r="F34" s="62"/>
      <c r="G34" s="62"/>
      <c r="H34" s="62"/>
      <c r="I34" s="62"/>
      <c r="J34" s="62"/>
      <c r="K34" s="62"/>
      <c r="L34" s="62"/>
      <c r="M34" s="62"/>
      <c r="N34" s="37"/>
      <c r="O34" s="37"/>
      <c r="P34" s="37"/>
      <c r="Q34" s="37"/>
      <c r="R34" s="37"/>
    </row>
    <row r="35" spans="1:18" ht="17">
      <c r="A35" s="62"/>
      <c r="B35" s="178"/>
      <c r="C35" s="177"/>
      <c r="D35" s="170"/>
      <c r="E35" s="62"/>
      <c r="F35" s="62"/>
      <c r="G35" s="62"/>
      <c r="H35" s="62"/>
      <c r="I35" s="62"/>
      <c r="J35" s="62"/>
      <c r="K35" s="62"/>
      <c r="L35" s="62"/>
      <c r="M35" s="62"/>
      <c r="N35" s="37"/>
      <c r="O35" s="37"/>
      <c r="P35" s="37"/>
      <c r="Q35" s="37"/>
      <c r="R35" s="37"/>
    </row>
    <row r="36" spans="1:18" ht="17">
      <c r="A36" s="62"/>
      <c r="B36" s="178"/>
      <c r="C36" s="177"/>
      <c r="D36" s="170"/>
      <c r="E36" s="62"/>
      <c r="F36" s="62"/>
      <c r="G36" s="62"/>
      <c r="H36" s="62"/>
      <c r="I36" s="62"/>
      <c r="J36" s="62"/>
      <c r="K36" s="62"/>
      <c r="L36" s="62"/>
      <c r="M36" s="62"/>
      <c r="N36" s="37"/>
      <c r="O36" s="37"/>
      <c r="P36" s="37"/>
      <c r="Q36" s="37"/>
      <c r="R36" s="37"/>
    </row>
    <row r="37" spans="1:18">
      <c r="G37" s="37"/>
      <c r="H37" s="37"/>
      <c r="I37" s="37"/>
      <c r="J37" s="37"/>
      <c r="K37" s="37"/>
      <c r="L37" s="37"/>
      <c r="M37" s="37"/>
      <c r="N37" s="37"/>
      <c r="O37" s="37"/>
      <c r="P37" s="37"/>
      <c r="Q37" s="37"/>
      <c r="R37" s="37"/>
    </row>
    <row r="38" spans="1:18">
      <c r="G38" s="37"/>
      <c r="H38" s="37"/>
      <c r="I38" s="37"/>
      <c r="J38" s="37"/>
      <c r="K38" s="37"/>
      <c r="L38" s="37"/>
      <c r="M38" s="37"/>
      <c r="N38" s="37"/>
      <c r="O38" s="37"/>
      <c r="P38" s="37"/>
      <c r="Q38" s="37"/>
      <c r="R38" s="37"/>
    </row>
    <row r="39" spans="1:18">
      <c r="G39" s="37"/>
      <c r="H39" s="37"/>
      <c r="I39" s="37"/>
      <c r="J39" s="37"/>
      <c r="K39" s="37"/>
      <c r="L39" s="37"/>
      <c r="M39" s="37"/>
      <c r="N39" s="37"/>
      <c r="O39" s="37"/>
      <c r="P39" s="37"/>
      <c r="Q39" s="37"/>
      <c r="R39" s="37"/>
    </row>
    <row r="40" spans="1:18">
      <c r="G40" s="37"/>
      <c r="H40" s="37"/>
      <c r="I40" s="37"/>
      <c r="J40" s="37"/>
      <c r="K40" s="37"/>
      <c r="L40" s="37"/>
      <c r="M40" s="37"/>
      <c r="N40" s="37"/>
      <c r="O40" s="37"/>
      <c r="P40" s="37"/>
      <c r="Q40" s="37"/>
      <c r="R40" s="37"/>
    </row>
    <row r="41" spans="1:18">
      <c r="G41" s="67"/>
      <c r="H41" s="37"/>
      <c r="I41" s="37"/>
      <c r="J41" s="37"/>
      <c r="K41" s="37"/>
      <c r="L41" s="37"/>
      <c r="M41" s="37"/>
      <c r="N41" s="37"/>
      <c r="O41" s="37"/>
      <c r="P41" s="37"/>
      <c r="Q41" s="37"/>
      <c r="R41" s="37"/>
    </row>
    <row r="42" spans="1:18">
      <c r="G42" s="67"/>
      <c r="H42" s="37"/>
      <c r="I42" s="37"/>
      <c r="J42" s="37"/>
      <c r="K42" s="37"/>
      <c r="L42" s="37"/>
      <c r="M42" s="37"/>
      <c r="N42" s="37"/>
      <c r="O42" s="37"/>
      <c r="P42" s="37"/>
      <c r="Q42" s="37"/>
      <c r="R42" s="37"/>
    </row>
    <row r="43" spans="1:18">
      <c r="G43" s="67"/>
      <c r="H43" s="37"/>
      <c r="I43" s="37"/>
      <c r="J43" s="37"/>
      <c r="K43" s="37"/>
      <c r="L43" s="37"/>
      <c r="M43" s="37"/>
      <c r="N43" s="37"/>
      <c r="O43" s="37"/>
      <c r="P43" s="37"/>
      <c r="Q43" s="37"/>
      <c r="R43" s="37"/>
    </row>
    <row r="44" spans="1:18">
      <c r="G44" s="67"/>
      <c r="H44" s="37"/>
      <c r="I44" s="37"/>
      <c r="J44" s="37"/>
      <c r="K44" s="37"/>
      <c r="L44" s="37"/>
      <c r="M44" s="37"/>
      <c r="N44" s="37"/>
      <c r="O44" s="37"/>
      <c r="P44" s="37"/>
      <c r="Q44" s="37"/>
      <c r="R44" s="37"/>
    </row>
    <row r="45" spans="1:18">
      <c r="G45" s="67"/>
      <c r="H45" s="37"/>
      <c r="I45" s="37"/>
      <c r="J45" s="37"/>
      <c r="K45" s="37"/>
      <c r="L45" s="37"/>
      <c r="M45" s="37"/>
      <c r="N45" s="37"/>
      <c r="O45" s="37"/>
      <c r="P45" s="37"/>
      <c r="Q45" s="37"/>
      <c r="R45" s="37"/>
    </row>
    <row r="46" spans="1:18">
      <c r="G46" s="67"/>
      <c r="H46" s="37"/>
      <c r="I46" s="37"/>
      <c r="J46" s="37"/>
      <c r="K46" s="37"/>
      <c r="L46" s="37"/>
      <c r="M46" s="37"/>
      <c r="N46" s="37"/>
      <c r="O46" s="37"/>
      <c r="P46" s="37"/>
      <c r="Q46" s="37"/>
      <c r="R46" s="37"/>
    </row>
    <row r="47" spans="1:18">
      <c r="G47" s="67"/>
      <c r="H47" s="37"/>
      <c r="I47" s="37"/>
      <c r="J47" s="37"/>
      <c r="K47" s="37"/>
      <c r="L47" s="37"/>
      <c r="M47" s="37"/>
      <c r="N47" s="37"/>
      <c r="O47" s="37"/>
      <c r="P47" s="37"/>
      <c r="Q47" s="37"/>
      <c r="R47" s="37"/>
    </row>
    <row r="48" spans="1:18">
      <c r="G48" s="37"/>
      <c r="H48" s="37"/>
      <c r="I48" s="37"/>
      <c r="J48" s="37"/>
      <c r="K48" s="37"/>
      <c r="L48" s="37"/>
      <c r="M48" s="37"/>
      <c r="N48" s="37"/>
      <c r="O48" s="37"/>
      <c r="P48" s="37"/>
      <c r="Q48" s="37"/>
      <c r="R48" s="37"/>
    </row>
    <row r="49" spans="6:18">
      <c r="F49" s="31"/>
      <c r="G49" s="37"/>
      <c r="H49" s="37"/>
      <c r="I49" s="37"/>
      <c r="J49" s="37"/>
      <c r="K49" s="37"/>
      <c r="L49" s="37"/>
      <c r="M49" s="37"/>
      <c r="N49" s="37"/>
      <c r="O49" s="37"/>
      <c r="P49" s="37"/>
      <c r="Q49" s="37"/>
      <c r="R49" s="37"/>
    </row>
    <row r="50" spans="6:18">
      <c r="F50" s="31"/>
      <c r="G50" s="37"/>
      <c r="H50" s="37"/>
      <c r="I50" s="37"/>
      <c r="J50" s="37"/>
      <c r="K50" s="37"/>
      <c r="L50" s="37"/>
      <c r="M50" s="37"/>
      <c r="N50" s="37"/>
      <c r="O50" s="37"/>
      <c r="P50" s="37"/>
      <c r="Q50" s="37"/>
      <c r="R50" s="37"/>
    </row>
    <row r="51" spans="6:18">
      <c r="F51" s="31"/>
      <c r="G51" s="37"/>
      <c r="H51" s="37"/>
      <c r="I51" s="37"/>
      <c r="J51" s="37"/>
      <c r="K51" s="37"/>
      <c r="L51" s="37"/>
      <c r="M51" s="37"/>
      <c r="N51" s="37"/>
      <c r="O51" s="37"/>
      <c r="P51" s="37"/>
      <c r="Q51" s="37"/>
      <c r="R51" s="37"/>
    </row>
    <row r="52" spans="6:18">
      <c r="G52" s="37"/>
      <c r="H52" s="37"/>
      <c r="I52" s="37"/>
      <c r="J52" s="37"/>
      <c r="K52" s="37"/>
      <c r="L52" s="37"/>
      <c r="M52" s="37"/>
      <c r="N52" s="37"/>
      <c r="O52" s="37"/>
      <c r="P52" s="37"/>
      <c r="Q52" s="37"/>
      <c r="R52" s="37"/>
    </row>
    <row r="53" spans="6:18">
      <c r="F53" s="31"/>
      <c r="G53" s="37"/>
      <c r="H53" s="37"/>
      <c r="I53" s="37"/>
      <c r="J53" s="37"/>
      <c r="K53" s="37"/>
      <c r="L53" s="37"/>
      <c r="M53" s="37"/>
      <c r="N53" s="37"/>
      <c r="O53" s="37"/>
      <c r="P53" s="37"/>
      <c r="Q53" s="37"/>
      <c r="R53" s="37"/>
    </row>
    <row r="54" spans="6:18">
      <c r="F54" s="31"/>
      <c r="G54" s="37"/>
      <c r="H54" s="37"/>
      <c r="I54" s="37"/>
      <c r="J54" s="37"/>
      <c r="K54" s="37"/>
      <c r="L54" s="37"/>
      <c r="M54" s="37"/>
      <c r="N54" s="37"/>
      <c r="O54" s="37"/>
      <c r="P54" s="37"/>
      <c r="Q54" s="37"/>
      <c r="R54" s="37"/>
    </row>
    <row r="55" spans="6:18">
      <c r="F55" s="55"/>
      <c r="G55" s="37"/>
      <c r="H55" s="37"/>
      <c r="I55" s="37"/>
      <c r="J55" s="37"/>
      <c r="K55" s="37"/>
      <c r="L55" s="37"/>
      <c r="M55" s="37"/>
      <c r="N55" s="37"/>
      <c r="O55" s="37"/>
      <c r="P55" s="37"/>
      <c r="Q55" s="37"/>
      <c r="R55" s="37"/>
    </row>
    <row r="56" spans="6:18">
      <c r="F56" s="55"/>
      <c r="G56" s="37"/>
      <c r="H56" s="37"/>
      <c r="I56" s="37"/>
      <c r="J56" s="37"/>
      <c r="K56" s="37"/>
      <c r="L56" s="37"/>
      <c r="M56" s="37"/>
      <c r="N56" s="37"/>
      <c r="O56" s="37"/>
      <c r="P56" s="37"/>
      <c r="Q56" s="37"/>
      <c r="R56" s="37"/>
    </row>
    <row r="57" spans="6:18">
      <c r="F57" s="55"/>
      <c r="G57" s="37"/>
      <c r="H57" s="37"/>
      <c r="I57" s="37"/>
      <c r="J57" s="37"/>
      <c r="K57" s="37"/>
      <c r="L57" s="37"/>
      <c r="M57" s="37"/>
      <c r="N57" s="37"/>
      <c r="O57" s="37"/>
      <c r="P57" s="37"/>
      <c r="Q57" s="37"/>
      <c r="R57" s="37"/>
    </row>
    <row r="58" spans="6:18">
      <c r="F58" s="55"/>
      <c r="G58" s="37"/>
      <c r="H58" s="37"/>
      <c r="I58" s="37"/>
      <c r="J58" s="37"/>
      <c r="K58" s="37"/>
      <c r="L58" s="37"/>
      <c r="M58" s="37"/>
      <c r="N58" s="37"/>
      <c r="O58" s="37"/>
      <c r="P58" s="37"/>
      <c r="Q58" s="37"/>
      <c r="R58" s="37"/>
    </row>
    <row r="59" spans="6:18">
      <c r="F59" s="55"/>
      <c r="G59" s="37"/>
      <c r="H59" s="37"/>
      <c r="I59" s="37"/>
      <c r="J59" s="37"/>
      <c r="K59" s="37"/>
      <c r="L59" s="37"/>
      <c r="M59" s="37"/>
      <c r="N59" s="37"/>
      <c r="O59" s="37"/>
      <c r="P59" s="37"/>
      <c r="Q59" s="37"/>
      <c r="R59" s="37"/>
    </row>
    <row r="60" spans="6:18">
      <c r="F60" s="55"/>
      <c r="G60" s="37"/>
      <c r="H60" s="37"/>
      <c r="I60" s="37"/>
      <c r="J60" s="37"/>
      <c r="K60" s="37"/>
      <c r="L60" s="37"/>
      <c r="M60" s="37"/>
      <c r="N60" s="37"/>
      <c r="O60" s="37"/>
      <c r="P60" s="37"/>
      <c r="Q60" s="37"/>
      <c r="R60" s="37"/>
    </row>
    <row r="61" spans="6:18">
      <c r="F61" s="55"/>
      <c r="G61" s="37"/>
      <c r="H61" s="37"/>
      <c r="I61" s="37"/>
      <c r="J61" s="37"/>
      <c r="K61" s="37"/>
      <c r="L61" s="37"/>
      <c r="M61" s="37"/>
      <c r="N61" s="37"/>
      <c r="O61" s="37"/>
      <c r="P61" s="37"/>
      <c r="Q61" s="37"/>
      <c r="R61" s="37"/>
    </row>
    <row r="62" spans="6:18">
      <c r="F62" s="55"/>
      <c r="G62" s="37"/>
      <c r="H62" s="37"/>
      <c r="I62" s="37"/>
      <c r="J62" s="37"/>
      <c r="K62" s="37"/>
      <c r="L62" s="37"/>
      <c r="M62" s="37"/>
      <c r="N62" s="37"/>
      <c r="O62" s="37"/>
      <c r="P62" s="37"/>
      <c r="Q62" s="37"/>
      <c r="R62" s="37"/>
    </row>
    <row r="63" spans="6:18">
      <c r="F63" s="55"/>
      <c r="G63" s="37"/>
      <c r="H63" s="37"/>
      <c r="I63" s="37"/>
      <c r="J63" s="37"/>
      <c r="K63" s="37"/>
      <c r="L63" s="37"/>
      <c r="M63" s="37"/>
      <c r="N63" s="37"/>
      <c r="O63" s="37"/>
      <c r="P63" s="37"/>
      <c r="Q63" s="37"/>
      <c r="R63" s="37"/>
    </row>
    <row r="64" spans="6:18">
      <c r="F64" s="31"/>
      <c r="G64" s="37"/>
      <c r="H64" s="37"/>
      <c r="I64" s="37"/>
      <c r="J64" s="37"/>
      <c r="K64" s="37"/>
      <c r="L64" s="37"/>
      <c r="M64" s="37"/>
      <c r="N64" s="37"/>
      <c r="O64" s="37"/>
      <c r="P64" s="37"/>
      <c r="Q64" s="37"/>
      <c r="R64" s="37"/>
    </row>
    <row r="65" spans="6:18">
      <c r="F65" s="31"/>
      <c r="G65" s="37"/>
      <c r="H65" s="37"/>
      <c r="I65" s="37"/>
      <c r="J65" s="37"/>
      <c r="K65" s="37"/>
      <c r="L65" s="37"/>
      <c r="M65" s="37"/>
      <c r="N65" s="37"/>
      <c r="O65" s="37"/>
      <c r="P65" s="37"/>
      <c r="Q65" s="37"/>
      <c r="R65" s="37"/>
    </row>
    <row r="66" spans="6:18">
      <c r="F66" s="31"/>
    </row>
    <row r="75" spans="6:18">
      <c r="J75" t="s">
        <v>391</v>
      </c>
    </row>
    <row r="112" spans="3:9">
      <c r="C112" s="268" t="s">
        <v>381</v>
      </c>
      <c r="I112" s="268" t="s">
        <v>383</v>
      </c>
    </row>
    <row r="113" spans="3:13">
      <c r="D113" s="105"/>
      <c r="E113" s="105"/>
      <c r="F113" s="105"/>
    </row>
    <row r="114" spans="3:13">
      <c r="D114" s="58" t="s">
        <v>93</v>
      </c>
      <c r="E114" s="58" t="s">
        <v>90</v>
      </c>
      <c r="F114" s="58" t="s">
        <v>91</v>
      </c>
      <c r="J114" t="s">
        <v>316</v>
      </c>
      <c r="K114" s="17" t="s">
        <v>340</v>
      </c>
      <c r="L114" t="s">
        <v>100</v>
      </c>
      <c r="M114" t="s">
        <v>301</v>
      </c>
    </row>
    <row r="115" spans="3:13">
      <c r="C115" s="1" t="s">
        <v>9</v>
      </c>
      <c r="I115" t="str">
        <f>Inputs!B24</f>
        <v>Pilot Program</v>
      </c>
      <c r="J115" s="31">
        <v>1052356.8890218399</v>
      </c>
      <c r="K115" s="248">
        <v>-110001</v>
      </c>
      <c r="L115" s="248">
        <v>-109086.24435907163</v>
      </c>
      <c r="M115" s="248">
        <v>1271444.1333809115</v>
      </c>
    </row>
    <row r="116" spans="3:13">
      <c r="C116" s="24" t="s">
        <v>116</v>
      </c>
      <c r="D116" s="31">
        <f>Calculations!C90</f>
        <v>1550000.25</v>
      </c>
      <c r="E116" s="31">
        <f>Calculations!S90</f>
        <v>1860000.3</v>
      </c>
      <c r="F116" s="31">
        <f>Calculations!K90</f>
        <v>1162500.1875</v>
      </c>
      <c r="I116" t="str">
        <f>Inputs!B25</f>
        <v>Basic Program</v>
      </c>
      <c r="J116" s="31">
        <v>1417696.1168975588</v>
      </c>
      <c r="K116" s="248">
        <v>-1250002</v>
      </c>
      <c r="L116" s="248">
        <v>-2418078.4166260874</v>
      </c>
      <c r="M116" s="248">
        <v>5085776.5335236471</v>
      </c>
    </row>
    <row r="117" spans="3:13">
      <c r="C117" t="s">
        <v>10</v>
      </c>
      <c r="D117" s="31">
        <f>Calculations!C91</f>
        <v>3262966.6107856184</v>
      </c>
      <c r="E117" s="31">
        <f>Calculations!S91</f>
        <v>9346909.3886356428</v>
      </c>
      <c r="F117" s="31">
        <f>Calculations!K91</f>
        <v>-272601.88785225991</v>
      </c>
      <c r="I117" t="str">
        <f>Inputs!B26</f>
        <v>Optimal Program</v>
      </c>
      <c r="J117" s="31">
        <f>D117</f>
        <v>3262966.6107856184</v>
      </c>
      <c r="K117" s="65">
        <f>D127</f>
        <v>-1550000.25</v>
      </c>
      <c r="L117" s="65">
        <f>D128</f>
        <v>-6054286.5619284753</v>
      </c>
      <c r="M117" s="41">
        <f>SUM(D120:D126)</f>
        <v>10867253.422714092</v>
      </c>
    </row>
    <row r="118" spans="3:13">
      <c r="D118" s="31"/>
      <c r="E118" s="31"/>
      <c r="F118" s="31"/>
    </row>
    <row r="119" spans="3:13">
      <c r="C119" s="1" t="s">
        <v>89</v>
      </c>
      <c r="E119" s="31"/>
      <c r="F119" s="31"/>
    </row>
    <row r="120" spans="3:13">
      <c r="C120" t="str">
        <f>Calculations!B95</f>
        <v>Medical Malpractice</v>
      </c>
      <c r="D120" s="31">
        <f>Calculations!C95</f>
        <v>266605.13053666509</v>
      </c>
      <c r="E120" s="31">
        <f>Calculations!S95</f>
        <v>348212.23701967421</v>
      </c>
      <c r="F120" s="31">
        <f>Calculations!K95</f>
        <v>163559.54825225746</v>
      </c>
    </row>
    <row r="121" spans="3:13">
      <c r="C121" t="str">
        <f>Calculations!B96</f>
        <v>Workers Compensation</v>
      </c>
      <c r="D121" s="31">
        <f>Calculations!C96</f>
        <v>2547002.21314091</v>
      </c>
      <c r="E121" s="31">
        <f>Calculations!S96</f>
        <v>3819488.4734773398</v>
      </c>
      <c r="F121" s="31">
        <f>Calculations!K96</f>
        <v>1564918.0608854371</v>
      </c>
    </row>
    <row r="122" spans="3:13">
      <c r="C122" t="str">
        <f>Calculations!B97</f>
        <v>Lost &amp; Restricted Days</v>
      </c>
      <c r="D122" s="31">
        <f>Calculations!C97</f>
        <v>1673091.0092889708</v>
      </c>
      <c r="E122" s="31">
        <f>Calculations!S97</f>
        <v>2650176.1587137301</v>
      </c>
      <c r="F122" s="31">
        <f>Calculations!K97</f>
        <v>1226933.4068119121</v>
      </c>
    </row>
    <row r="123" spans="3:13">
      <c r="C123" t="str">
        <f>Calculations!B98</f>
        <v>Employee Turnover</v>
      </c>
      <c r="D123" s="31">
        <f>Calculations!C98</f>
        <v>2373686.1479896577</v>
      </c>
      <c r="E123" s="31">
        <f>Calculations!S98</f>
        <v>3939560.3345645517</v>
      </c>
      <c r="F123" s="31">
        <f>Calculations!K98</f>
        <v>1758150.8931114529</v>
      </c>
    </row>
    <row r="124" spans="3:13">
      <c r="C124" t="str">
        <f>Calculations!B99</f>
        <v>Patient Falls</v>
      </c>
      <c r="D124" s="31">
        <f>Calculations!C99</f>
        <v>914155.7258062812</v>
      </c>
      <c r="E124" s="31">
        <f>Calculations!S99</f>
        <v>1323180.0107230505</v>
      </c>
      <c r="F124" s="31">
        <f>Calculations!K99</f>
        <v>374438.18529025273</v>
      </c>
    </row>
    <row r="125" spans="3:13">
      <c r="C125" t="str">
        <f>Calculations!B100</f>
        <v>Stage 1-2 HAPIs</v>
      </c>
      <c r="D125" s="31">
        <f>Calculations!C100</f>
        <v>1936743.2833194002</v>
      </c>
      <c r="E125" s="31">
        <f>Calculations!S100</f>
        <v>3346692.3935759235</v>
      </c>
      <c r="F125" s="31">
        <f>Calculations!K100</f>
        <v>991612.5610595335</v>
      </c>
      <c r="J125" s="82"/>
    </row>
    <row r="126" spans="3:13">
      <c r="C126" t="str">
        <f>Calculations!B101</f>
        <v>Stage 3-4 HAPIs</v>
      </c>
      <c r="D126" s="31">
        <f>Calculations!C101</f>
        <v>1155969.9126322072</v>
      </c>
      <c r="E126" s="31">
        <f>Calculations!S101</f>
        <v>1997516.0090284538</v>
      </c>
      <c r="F126" s="31">
        <f>Calculations!K101</f>
        <v>591856.59526769025</v>
      </c>
    </row>
    <row r="127" spans="3:13">
      <c r="C127" t="str">
        <f>Inputs!A149</f>
        <v>Setup Costs</v>
      </c>
      <c r="D127" s="31">
        <f>Calculations!C94</f>
        <v>-1550000.25</v>
      </c>
      <c r="E127" s="31">
        <f>Calculations!S94</f>
        <v>-1860000.3</v>
      </c>
      <c r="F127" s="31">
        <f>Calculations!K94</f>
        <v>-1162500.1875</v>
      </c>
    </row>
    <row r="128" spans="3:13">
      <c r="C128" t="str">
        <f>Inputs!A156</f>
        <v>Ongoing Costs</v>
      </c>
      <c r="D128" s="31">
        <f>NPV_OngoingCosts_B</f>
        <v>-6054286.5619284753</v>
      </c>
      <c r="E128" s="31">
        <f>NPV_OngoingCosts_C</f>
        <v>-6217915.9284670828</v>
      </c>
      <c r="F128" s="31">
        <f>NPV_OngoingCosts_A</f>
        <v>-5781570.9510307955</v>
      </c>
    </row>
    <row r="129" spans="2:11">
      <c r="C129" s="102" t="s">
        <v>193</v>
      </c>
      <c r="D129" s="103">
        <f>SUM(D120:D128)</f>
        <v>3262966.6107856166</v>
      </c>
      <c r="E129" s="103">
        <f>SUM(E120:E128)</f>
        <v>9346909.3886356391</v>
      </c>
      <c r="F129" s="103">
        <f>SUM(F120:F128)</f>
        <v>-272601.88785225991</v>
      </c>
    </row>
    <row r="133" spans="2:11">
      <c r="C133" s="268" t="s">
        <v>382</v>
      </c>
    </row>
    <row r="135" spans="2:11">
      <c r="C135" t="s">
        <v>29</v>
      </c>
      <c r="D135" s="31">
        <f>F117</f>
        <v>-272601.88785225991</v>
      </c>
      <c r="E135" s="31">
        <f>E117</f>
        <v>9346909.3886356428</v>
      </c>
      <c r="F135" s="41">
        <f>D117</f>
        <v>3262966.6107856184</v>
      </c>
    </row>
    <row r="136" spans="2:11">
      <c r="D136" s="31"/>
      <c r="E136" s="31"/>
      <c r="F136" s="31"/>
    </row>
    <row r="137" spans="2:11">
      <c r="B137" s="271" t="s">
        <v>88</v>
      </c>
      <c r="C137" t="s">
        <v>30</v>
      </c>
      <c r="D137" s="269" t="s">
        <v>15</v>
      </c>
      <c r="E137" s="269" t="s">
        <v>16</v>
      </c>
      <c r="F137" s="269" t="s">
        <v>87</v>
      </c>
      <c r="H137" s="269" t="s">
        <v>88</v>
      </c>
      <c r="I137" s="1" t="s">
        <v>119</v>
      </c>
      <c r="J137" s="54" t="s">
        <v>10</v>
      </c>
      <c r="K137" s="105" t="s">
        <v>295</v>
      </c>
    </row>
    <row r="138" spans="2:11">
      <c r="B138" s="55">
        <f t="shared" ref="B138:B146" si="0">RANK(F138,F$138:F$146,0)</f>
        <v>9</v>
      </c>
      <c r="C138" t="str">
        <f t="shared" ref="C138:C146" si="1">C120</f>
        <v>Medical Malpractice</v>
      </c>
      <c r="D138" s="31">
        <f t="shared" ref="D138:D146" si="2">$F$135-(D120-F120)</f>
        <v>3159921.0285012107</v>
      </c>
      <c r="E138" s="31">
        <f t="shared" ref="E138:E146" si="3">$F$135+(E120-D120)</f>
        <v>3344573.7172686276</v>
      </c>
      <c r="F138" s="31">
        <f t="shared" ref="F138:F144" si="4">ABS(D138-E138)</f>
        <v>184652.68876741687</v>
      </c>
      <c r="H138" s="55">
        <f t="shared" ref="H138:H144" si="5">RANK(J138,J$138:J$144,0)</f>
        <v>7</v>
      </c>
      <c r="I138" t="str">
        <f t="shared" ref="I138:J144" si="6">C120</f>
        <v>Medical Malpractice</v>
      </c>
      <c r="J138" s="31">
        <f t="shared" si="6"/>
        <v>266605.13053666509</v>
      </c>
      <c r="K138" s="270">
        <f>MedMal_Reduction_Rate</f>
        <v>0.25</v>
      </c>
    </row>
    <row r="139" spans="2:11">
      <c r="B139" s="55">
        <f t="shared" si="0"/>
        <v>2</v>
      </c>
      <c r="C139" t="str">
        <f t="shared" si="1"/>
        <v>Workers Compensation</v>
      </c>
      <c r="D139" s="31">
        <f t="shared" si="2"/>
        <v>2280882.4585301457</v>
      </c>
      <c r="E139" s="31">
        <f t="shared" si="3"/>
        <v>4535452.8711220482</v>
      </c>
      <c r="F139" s="31">
        <f t="shared" si="4"/>
        <v>2254570.4125919025</v>
      </c>
      <c r="H139" s="55">
        <f t="shared" si="5"/>
        <v>1</v>
      </c>
      <c r="I139" t="str">
        <f t="shared" si="6"/>
        <v>Workers Compensation</v>
      </c>
      <c r="J139" s="31">
        <f t="shared" si="6"/>
        <v>2547002.21314091</v>
      </c>
      <c r="K139" s="270">
        <f>WC_ReductionRate_BC</f>
        <v>0.5</v>
      </c>
    </row>
    <row r="140" spans="2:11">
      <c r="B140" s="55">
        <f t="shared" si="0"/>
        <v>4</v>
      </c>
      <c r="C140" t="str">
        <f t="shared" si="1"/>
        <v>Lost &amp; Restricted Days</v>
      </c>
      <c r="D140" s="31">
        <f t="shared" si="2"/>
        <v>2816809.0083085597</v>
      </c>
      <c r="E140" s="31">
        <f t="shared" si="3"/>
        <v>4240051.7602103781</v>
      </c>
      <c r="F140" s="31">
        <f t="shared" si="4"/>
        <v>1423242.7519018184</v>
      </c>
      <c r="H140" s="55">
        <f t="shared" si="5"/>
        <v>4</v>
      </c>
      <c r="I140" t="str">
        <f t="shared" si="6"/>
        <v>Lost &amp; Restricted Days</v>
      </c>
      <c r="J140" s="31">
        <f t="shared" si="6"/>
        <v>1673091.0092889708</v>
      </c>
      <c r="K140" s="270">
        <f>LR_Reduction_Base</f>
        <v>0.5</v>
      </c>
    </row>
    <row r="141" spans="2:11">
      <c r="B141" s="55">
        <f t="shared" si="0"/>
        <v>3</v>
      </c>
      <c r="C141" t="str">
        <f t="shared" si="1"/>
        <v>Employee Turnover</v>
      </c>
      <c r="D141" s="31">
        <f t="shared" si="2"/>
        <v>2647431.3559074136</v>
      </c>
      <c r="E141" s="31">
        <f t="shared" si="3"/>
        <v>4828840.7973605124</v>
      </c>
      <c r="F141" s="31">
        <f t="shared" si="4"/>
        <v>2181409.4414530988</v>
      </c>
      <c r="H141" s="55">
        <f t="shared" si="5"/>
        <v>2</v>
      </c>
      <c r="I141" t="str">
        <f t="shared" si="6"/>
        <v>Employee Turnover</v>
      </c>
      <c r="J141" s="31">
        <f t="shared" si="6"/>
        <v>2373686.1479896577</v>
      </c>
      <c r="K141" s="270">
        <f>Inputs!G106</f>
        <v>0.5</v>
      </c>
    </row>
    <row r="142" spans="2:11">
      <c r="B142" s="55">
        <f t="shared" si="0"/>
        <v>6</v>
      </c>
      <c r="C142" t="str">
        <f t="shared" si="1"/>
        <v>Patient Falls</v>
      </c>
      <c r="D142" s="31">
        <f t="shared" si="2"/>
        <v>2723249.0702695902</v>
      </c>
      <c r="E142" s="31">
        <f t="shared" si="3"/>
        <v>3671990.8957023877</v>
      </c>
      <c r="F142" s="31">
        <f t="shared" si="4"/>
        <v>948741.82543279743</v>
      </c>
      <c r="H142" s="55">
        <f t="shared" si="5"/>
        <v>6</v>
      </c>
      <c r="I142" t="str">
        <f t="shared" si="6"/>
        <v>Patient Falls</v>
      </c>
      <c r="J142" s="31">
        <f t="shared" si="6"/>
        <v>914155.7258062812</v>
      </c>
      <c r="K142" s="270">
        <f>Inputs!G125</f>
        <v>0.15</v>
      </c>
    </row>
    <row r="143" spans="2:11">
      <c r="B143" s="55">
        <f t="shared" si="0"/>
        <v>1</v>
      </c>
      <c r="C143" t="str">
        <f t="shared" si="1"/>
        <v>Stage 1-2 HAPIs</v>
      </c>
      <c r="D143" s="31">
        <f t="shared" si="2"/>
        <v>2317835.8885257519</v>
      </c>
      <c r="E143" s="31">
        <f t="shared" si="3"/>
        <v>4672915.7210421413</v>
      </c>
      <c r="F143" s="31">
        <f t="shared" si="4"/>
        <v>2355079.8325163894</v>
      </c>
      <c r="H143" s="55">
        <f t="shared" si="5"/>
        <v>3</v>
      </c>
      <c r="I143" t="str">
        <f t="shared" si="6"/>
        <v>Stage 1-2 HAPIs</v>
      </c>
      <c r="J143" s="31">
        <f t="shared" si="6"/>
        <v>1936743.2833194002</v>
      </c>
      <c r="K143" s="270">
        <f>Inputs!G143</f>
        <v>0.2</v>
      </c>
    </row>
    <row r="144" spans="2:11">
      <c r="B144" s="55">
        <f t="shared" si="0"/>
        <v>5</v>
      </c>
      <c r="C144" t="str">
        <f t="shared" si="1"/>
        <v>Stage 3-4 HAPIs</v>
      </c>
      <c r="D144" s="31">
        <f t="shared" si="2"/>
        <v>2698853.2934211018</v>
      </c>
      <c r="E144" s="31">
        <f t="shared" si="3"/>
        <v>4104512.7071818653</v>
      </c>
      <c r="F144" s="31">
        <f t="shared" si="4"/>
        <v>1405659.4137607636</v>
      </c>
      <c r="H144" s="55">
        <f t="shared" si="5"/>
        <v>5</v>
      </c>
      <c r="I144" t="str">
        <f t="shared" si="6"/>
        <v>Stage 3-4 HAPIs</v>
      </c>
      <c r="J144" s="31">
        <f t="shared" si="6"/>
        <v>1155969.9126322072</v>
      </c>
      <c r="K144" s="270">
        <f>Inputs!G144</f>
        <v>0.3</v>
      </c>
    </row>
    <row r="145" spans="2:11">
      <c r="B145" s="55">
        <f t="shared" si="0"/>
        <v>7</v>
      </c>
      <c r="C145" t="str">
        <f t="shared" si="1"/>
        <v>Setup Costs</v>
      </c>
      <c r="D145" s="31">
        <f t="shared" si="2"/>
        <v>3650466.6732856184</v>
      </c>
      <c r="E145" s="31">
        <f t="shared" si="3"/>
        <v>2952966.5607856186</v>
      </c>
      <c r="F145" s="31">
        <f>ABS(D145-E145)</f>
        <v>697500.11249999981</v>
      </c>
      <c r="K145" s="267"/>
    </row>
    <row r="146" spans="2:11">
      <c r="B146" s="55">
        <f t="shared" si="0"/>
        <v>8</v>
      </c>
      <c r="C146" t="str">
        <f t="shared" si="1"/>
        <v>Ongoing Costs</v>
      </c>
      <c r="D146" s="31">
        <f t="shared" si="2"/>
        <v>3535682.2216832982</v>
      </c>
      <c r="E146" s="31">
        <f t="shared" si="3"/>
        <v>3099337.2442470109</v>
      </c>
      <c r="F146" s="31">
        <f t="shared" ref="F146" si="7">ABS(D146-E146)</f>
        <v>436344.97743628733</v>
      </c>
      <c r="I146" s="1" t="s">
        <v>88</v>
      </c>
      <c r="J146" s="31"/>
      <c r="K146" s="267"/>
    </row>
    <row r="147" spans="2:11">
      <c r="H147">
        <v>1</v>
      </c>
      <c r="I147" s="24" t="str">
        <f t="shared" ref="I147:I153" si="8">VLOOKUP($H147,$H$138:$J$144,2,FALSE)</f>
        <v>Workers Compensation</v>
      </c>
      <c r="J147" s="31">
        <f t="shared" ref="J147:J153" si="9">VLOOKUP($H147,$H$138:$J$144,3,FALSE)</f>
        <v>2547002.21314091</v>
      </c>
      <c r="K147" s="270">
        <f t="shared" ref="K147:K153" si="10">VLOOKUP($H147,$H$138:$K$144,4,FALSE)</f>
        <v>0.5</v>
      </c>
    </row>
    <row r="148" spans="2:11">
      <c r="B148" s="1"/>
      <c r="D148" s="31"/>
      <c r="E148" s="31"/>
      <c r="F148" s="31"/>
      <c r="H148">
        <v>2</v>
      </c>
      <c r="I148" s="24" t="str">
        <f t="shared" si="8"/>
        <v>Employee Turnover</v>
      </c>
      <c r="J148" s="31">
        <f t="shared" si="9"/>
        <v>2373686.1479896577</v>
      </c>
      <c r="K148" s="270">
        <f t="shared" si="10"/>
        <v>0.5</v>
      </c>
    </row>
    <row r="149" spans="2:11">
      <c r="C149" s="1" t="s">
        <v>88</v>
      </c>
      <c r="D149" s="31"/>
      <c r="E149" s="31"/>
      <c r="F149" s="31"/>
      <c r="H149">
        <v>3</v>
      </c>
      <c r="I149" s="24" t="str">
        <f t="shared" si="8"/>
        <v>Stage 1-2 HAPIs</v>
      </c>
      <c r="J149" s="31">
        <f t="shared" si="9"/>
        <v>1936743.2833194002</v>
      </c>
      <c r="K149" s="270">
        <f t="shared" si="10"/>
        <v>0.2</v>
      </c>
    </row>
    <row r="150" spans="2:11">
      <c r="B150">
        <v>1</v>
      </c>
      <c r="C150" s="24" t="str">
        <f t="shared" ref="C150:C158" si="11">VLOOKUP($B150,$B$138:$F$146,2,FALSE)</f>
        <v>Stage 1-2 HAPIs</v>
      </c>
      <c r="D150" s="31">
        <f t="shared" ref="D150:D158" si="12">VLOOKUP($B150,$B$138:$F$146,3,FALSE)</f>
        <v>2317835.8885257519</v>
      </c>
      <c r="E150" s="31">
        <f t="shared" ref="E150:E158" si="13">VLOOKUP($B150,$B$138:$F$146,4,FALSE)</f>
        <v>4672915.7210421413</v>
      </c>
      <c r="F150" s="31">
        <f t="shared" ref="F150:F158" si="14">VLOOKUP($B150,$B$138:$F$146,5,FALSE)</f>
        <v>2355079.8325163894</v>
      </c>
      <c r="H150">
        <v>4</v>
      </c>
      <c r="I150" s="24" t="str">
        <f t="shared" si="8"/>
        <v>Lost &amp; Restricted Days</v>
      </c>
      <c r="J150" s="31">
        <f t="shared" si="9"/>
        <v>1673091.0092889708</v>
      </c>
      <c r="K150" s="270">
        <f t="shared" si="10"/>
        <v>0.5</v>
      </c>
    </row>
    <row r="151" spans="2:11">
      <c r="B151">
        <v>2</v>
      </c>
      <c r="C151" s="24" t="str">
        <f t="shared" si="11"/>
        <v>Workers Compensation</v>
      </c>
      <c r="D151" s="31">
        <f t="shared" si="12"/>
        <v>2280882.4585301457</v>
      </c>
      <c r="E151" s="31">
        <f t="shared" si="13"/>
        <v>4535452.8711220482</v>
      </c>
      <c r="F151" s="31">
        <f t="shared" si="14"/>
        <v>2254570.4125919025</v>
      </c>
      <c r="H151">
        <v>5</v>
      </c>
      <c r="I151" s="24" t="str">
        <f t="shared" si="8"/>
        <v>Stage 3-4 HAPIs</v>
      </c>
      <c r="J151" s="31">
        <f t="shared" si="9"/>
        <v>1155969.9126322072</v>
      </c>
      <c r="K151" s="270">
        <f t="shared" si="10"/>
        <v>0.3</v>
      </c>
    </row>
    <row r="152" spans="2:11">
      <c r="B152">
        <v>3</v>
      </c>
      <c r="C152" s="24" t="str">
        <f t="shared" si="11"/>
        <v>Employee Turnover</v>
      </c>
      <c r="D152" s="31">
        <f t="shared" si="12"/>
        <v>2647431.3559074136</v>
      </c>
      <c r="E152" s="31">
        <f t="shared" si="13"/>
        <v>4828840.7973605124</v>
      </c>
      <c r="F152" s="31">
        <f t="shared" si="14"/>
        <v>2181409.4414530988</v>
      </c>
      <c r="H152">
        <v>6</v>
      </c>
      <c r="I152" s="24" t="str">
        <f t="shared" si="8"/>
        <v>Patient Falls</v>
      </c>
      <c r="J152" s="31">
        <f t="shared" si="9"/>
        <v>914155.7258062812</v>
      </c>
      <c r="K152" s="270">
        <f t="shared" si="10"/>
        <v>0.15</v>
      </c>
    </row>
    <row r="153" spans="2:11">
      <c r="B153">
        <v>4</v>
      </c>
      <c r="C153" s="24" t="str">
        <f t="shared" si="11"/>
        <v>Lost &amp; Restricted Days</v>
      </c>
      <c r="D153" s="31">
        <f t="shared" si="12"/>
        <v>2816809.0083085597</v>
      </c>
      <c r="E153" s="31">
        <f t="shared" si="13"/>
        <v>4240051.7602103781</v>
      </c>
      <c r="F153" s="31">
        <f t="shared" si="14"/>
        <v>1423242.7519018184</v>
      </c>
      <c r="H153">
        <v>7</v>
      </c>
      <c r="I153" s="24" t="str">
        <f t="shared" si="8"/>
        <v>Medical Malpractice</v>
      </c>
      <c r="J153" s="31">
        <f t="shared" si="9"/>
        <v>266605.13053666509</v>
      </c>
      <c r="K153" s="270">
        <f t="shared" si="10"/>
        <v>0.25</v>
      </c>
    </row>
    <row r="154" spans="2:11">
      <c r="B154">
        <v>5</v>
      </c>
      <c r="C154" s="24" t="str">
        <f t="shared" si="11"/>
        <v>Stage 3-4 HAPIs</v>
      </c>
      <c r="D154" s="31">
        <f t="shared" si="12"/>
        <v>2698853.2934211018</v>
      </c>
      <c r="E154" s="31">
        <f t="shared" si="13"/>
        <v>4104512.7071818653</v>
      </c>
      <c r="F154" s="31">
        <f t="shared" si="14"/>
        <v>1405659.4137607636</v>
      </c>
    </row>
    <row r="155" spans="2:11">
      <c r="B155">
        <v>6</v>
      </c>
      <c r="C155" s="24" t="str">
        <f t="shared" si="11"/>
        <v>Patient Falls</v>
      </c>
      <c r="D155" s="31">
        <f t="shared" si="12"/>
        <v>2723249.0702695902</v>
      </c>
      <c r="E155" s="31">
        <f t="shared" si="13"/>
        <v>3671990.8957023877</v>
      </c>
      <c r="F155" s="31">
        <f t="shared" si="14"/>
        <v>948741.82543279743</v>
      </c>
    </row>
    <row r="156" spans="2:11">
      <c r="B156">
        <v>7</v>
      </c>
      <c r="C156" s="24" t="str">
        <f t="shared" si="11"/>
        <v>Setup Costs</v>
      </c>
      <c r="D156" s="31">
        <f t="shared" si="12"/>
        <v>3650466.6732856184</v>
      </c>
      <c r="E156" s="31">
        <f t="shared" si="13"/>
        <v>2952966.5607856186</v>
      </c>
      <c r="F156" s="31">
        <f t="shared" si="14"/>
        <v>697500.11249999981</v>
      </c>
    </row>
    <row r="157" spans="2:11">
      <c r="B157">
        <v>8</v>
      </c>
      <c r="C157" s="24" t="str">
        <f t="shared" si="11"/>
        <v>Ongoing Costs</v>
      </c>
      <c r="D157" s="31">
        <f t="shared" si="12"/>
        <v>3535682.2216832982</v>
      </c>
      <c r="E157" s="31">
        <f t="shared" si="13"/>
        <v>3099337.2442470109</v>
      </c>
      <c r="F157" s="31">
        <f t="shared" si="14"/>
        <v>436344.97743628733</v>
      </c>
    </row>
    <row r="158" spans="2:11">
      <c r="B158">
        <v>9</v>
      </c>
      <c r="C158" s="24" t="str">
        <f t="shared" si="11"/>
        <v>Medical Malpractice</v>
      </c>
      <c r="D158" s="31">
        <f t="shared" si="12"/>
        <v>3159921.0285012107</v>
      </c>
      <c r="E158" s="31">
        <f t="shared" si="13"/>
        <v>3344573.7172686276</v>
      </c>
      <c r="F158" s="31">
        <f t="shared" si="14"/>
        <v>184652.68876741687</v>
      </c>
    </row>
    <row r="166" spans="3:4">
      <c r="C166" s="65"/>
    </row>
    <row r="167" spans="3:4">
      <c r="D167" s="82"/>
    </row>
  </sheetData>
  <sortState xmlns:xlrd2="http://schemas.microsoft.com/office/spreadsheetml/2017/richdata2" ref="B161:E165">
    <sortCondition descending="1" ref="E161:E165"/>
  </sortState>
  <mergeCells count="1">
    <mergeCell ref="B8:D10"/>
  </mergeCells>
  <pageMargins left="0.7" right="0.7" top="0.75" bottom="0.75" header="0.3" footer="0.3"/>
  <pageSetup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outlinePr showOutlineSymbols="0"/>
  </sheetPr>
  <dimension ref="A5:P229"/>
  <sheetViews>
    <sheetView showGridLines="0" zoomScale="75" zoomScaleNormal="100" workbookViewId="0">
      <selection activeCell="D181" sqref="D181"/>
    </sheetView>
  </sheetViews>
  <sheetFormatPr baseColWidth="10" defaultColWidth="8.83203125" defaultRowHeight="13" outlineLevelRow="1"/>
  <cols>
    <col min="1" max="1" width="9.5" customWidth="1"/>
    <col min="2" max="2" width="14" style="37" customWidth="1"/>
    <col min="3" max="3" width="29.83203125" customWidth="1"/>
    <col min="4" max="4" width="8.83203125" customWidth="1"/>
    <col min="5" max="5" width="14" style="20" customWidth="1"/>
    <col min="6" max="6" width="4.5" style="107" customWidth="1"/>
    <col min="7" max="7" width="15" style="20" customWidth="1"/>
    <col min="8" max="8" width="5" style="120" customWidth="1"/>
    <col min="9" max="9" width="13.6640625" style="20" customWidth="1"/>
    <col min="10" max="10" width="3.5" style="131" customWidth="1"/>
    <col min="12" max="12" width="66.83203125" style="40" customWidth="1"/>
    <col min="13" max="13" width="27.1640625" customWidth="1"/>
  </cols>
  <sheetData>
    <row r="5" spans="1:13" ht="19">
      <c r="A5" s="62"/>
      <c r="B5" s="179" t="s">
        <v>337</v>
      </c>
      <c r="C5" s="167"/>
      <c r="D5" s="168"/>
      <c r="E5" s="62"/>
      <c r="F5" s="62"/>
      <c r="G5" s="62"/>
      <c r="H5" s="62"/>
      <c r="I5" s="62"/>
      <c r="J5" s="62"/>
      <c r="K5" s="62"/>
      <c r="L5" s="62"/>
      <c r="M5" s="62"/>
    </row>
    <row r="7" spans="1:13" ht="17">
      <c r="A7" s="187" t="s">
        <v>47</v>
      </c>
      <c r="B7" s="187"/>
      <c r="C7" s="187"/>
      <c r="D7" s="187"/>
      <c r="E7" s="188"/>
      <c r="F7" s="189"/>
      <c r="G7" s="188"/>
      <c r="H7" s="189"/>
      <c r="I7" s="188"/>
      <c r="J7" s="189"/>
      <c r="L7" s="59" t="s">
        <v>92</v>
      </c>
      <c r="M7" s="59" t="s">
        <v>94</v>
      </c>
    </row>
    <row r="8" spans="1:13" ht="17">
      <c r="A8" s="262"/>
      <c r="B8" s="262"/>
      <c r="C8" s="262"/>
      <c r="D8" s="262"/>
      <c r="E8" s="263"/>
      <c r="F8" s="264"/>
      <c r="G8" s="263"/>
      <c r="H8" s="264"/>
      <c r="I8" s="263"/>
      <c r="J8" s="264"/>
      <c r="K8" s="20"/>
      <c r="L8" s="59"/>
      <c r="M8" s="66"/>
    </row>
    <row r="9" spans="1:13">
      <c r="C9" t="s">
        <v>13</v>
      </c>
      <c r="D9" s="104">
        <v>0.15</v>
      </c>
      <c r="L9" s="60"/>
      <c r="M9" s="62"/>
    </row>
    <row r="10" spans="1:13">
      <c r="C10" t="s">
        <v>14</v>
      </c>
      <c r="D10" s="146">
        <v>8</v>
      </c>
      <c r="L10" s="60"/>
      <c r="M10" s="62"/>
    </row>
    <row r="11" spans="1:13">
      <c r="C11" s="71" t="s">
        <v>45</v>
      </c>
      <c r="D11" s="149">
        <v>2019</v>
      </c>
      <c r="L11" s="60"/>
      <c r="M11" s="62"/>
    </row>
    <row r="12" spans="1:13">
      <c r="C12" t="s">
        <v>46</v>
      </c>
      <c r="D12" s="149">
        <v>2020</v>
      </c>
      <c r="L12" s="60"/>
      <c r="M12" s="62"/>
    </row>
    <row r="13" spans="1:13">
      <c r="C13" t="s">
        <v>130</v>
      </c>
      <c r="D13" s="150">
        <v>0.03</v>
      </c>
      <c r="L13" s="60"/>
      <c r="M13" s="62"/>
    </row>
    <row r="14" spans="1:13">
      <c r="D14" s="40"/>
      <c r="L14" s="60"/>
      <c r="M14" s="62"/>
    </row>
    <row r="15" spans="1:13">
      <c r="L15" s="60"/>
      <c r="M15" s="62"/>
    </row>
    <row r="16" spans="1:13">
      <c r="L16" s="60"/>
      <c r="M16" s="62"/>
    </row>
    <row r="17" spans="1:13">
      <c r="L17" s="60"/>
      <c r="M17" s="62"/>
    </row>
    <row r="18" spans="1:13">
      <c r="L18" s="60"/>
      <c r="M18" s="62"/>
    </row>
    <row r="19" spans="1:13" ht="17">
      <c r="A19" s="187" t="s">
        <v>299</v>
      </c>
      <c r="B19" s="187"/>
      <c r="C19" s="187"/>
      <c r="D19" s="188"/>
      <c r="E19" s="188" t="str">
        <f>B24</f>
        <v>Pilot Program</v>
      </c>
      <c r="F19" s="188"/>
      <c r="G19" s="188" t="str">
        <f>B25</f>
        <v>Basic Program</v>
      </c>
      <c r="H19" s="188"/>
      <c r="I19" s="188" t="str">
        <f>B26</f>
        <v>Optimal Program</v>
      </c>
      <c r="J19" s="189"/>
      <c r="L19" s="60"/>
      <c r="M19" s="62"/>
    </row>
    <row r="20" spans="1:13">
      <c r="L20" s="60"/>
      <c r="M20" s="62"/>
    </row>
    <row r="21" spans="1:13">
      <c r="B21" s="250">
        <v>3</v>
      </c>
      <c r="C21" t="s">
        <v>300</v>
      </c>
      <c r="D21" t="s">
        <v>335</v>
      </c>
      <c r="K21" s="9"/>
      <c r="L21" s="60"/>
      <c r="M21" s="62"/>
    </row>
    <row r="22" spans="1:13">
      <c r="B22" s="244">
        <f>Tornado!D129</f>
        <v>3262966.6107856166</v>
      </c>
      <c r="C22" t="s">
        <v>302</v>
      </c>
      <c r="L22" s="60"/>
      <c r="M22" s="62"/>
    </row>
    <row r="23" spans="1:13">
      <c r="B23"/>
      <c r="C23" s="152"/>
      <c r="G23" s="161" t="s">
        <v>323</v>
      </c>
      <c r="H23" s="162"/>
      <c r="L23" s="60"/>
      <c r="M23" s="62"/>
    </row>
    <row r="24" spans="1:13" ht="16">
      <c r="A24">
        <v>1</v>
      </c>
      <c r="B24" s="76" t="s">
        <v>330</v>
      </c>
      <c r="C24" s="145" t="s">
        <v>304</v>
      </c>
      <c r="E24" s="76"/>
      <c r="G24" s="159">
        <v>1052356.8890218399</v>
      </c>
      <c r="H24" s="163"/>
      <c r="I24" s="20" t="s">
        <v>324</v>
      </c>
      <c r="L24" s="60"/>
      <c r="M24" s="62"/>
    </row>
    <row r="25" spans="1:13" s="20" customFormat="1" ht="16">
      <c r="A25">
        <v>2</v>
      </c>
      <c r="B25" s="76" t="s">
        <v>331</v>
      </c>
      <c r="C25" s="145" t="s">
        <v>305</v>
      </c>
      <c r="D25"/>
      <c r="F25" s="107"/>
      <c r="G25" s="160">
        <v>1417696.1168975597</v>
      </c>
      <c r="H25" s="162"/>
      <c r="I25" s="20" t="s">
        <v>324</v>
      </c>
      <c r="L25" s="60"/>
      <c r="M25" s="62"/>
    </row>
    <row r="26" spans="1:13" ht="16">
      <c r="A26">
        <v>3</v>
      </c>
      <c r="B26" s="76" t="s">
        <v>332</v>
      </c>
      <c r="C26" s="145" t="s">
        <v>306</v>
      </c>
      <c r="G26" s="160">
        <f>B22</f>
        <v>3262966.6107856166</v>
      </c>
      <c r="H26" s="162"/>
      <c r="I26" s="20" t="s">
        <v>324</v>
      </c>
      <c r="L26" s="60"/>
      <c r="M26" s="62"/>
    </row>
    <row r="27" spans="1:13">
      <c r="I27" s="90"/>
      <c r="L27" s="60"/>
      <c r="M27" s="62"/>
    </row>
    <row r="28" spans="1:13">
      <c r="B28"/>
      <c r="C28" s="152"/>
      <c r="E28" s="255"/>
      <c r="F28" s="256"/>
      <c r="G28" s="255"/>
      <c r="H28" s="251"/>
      <c r="I28" s="155"/>
      <c r="J28" s="20"/>
      <c r="L28" s="60"/>
      <c r="M28" s="62"/>
    </row>
    <row r="29" spans="1:13" ht="16">
      <c r="B29" s="272" t="s">
        <v>384</v>
      </c>
      <c r="E29" s="255"/>
      <c r="F29" s="256"/>
      <c r="G29" s="255"/>
      <c r="H29" s="251"/>
      <c r="L29" s="60"/>
      <c r="M29" s="62"/>
    </row>
    <row r="30" spans="1:13">
      <c r="E30" s="255"/>
      <c r="F30" s="256"/>
      <c r="G30" s="255"/>
      <c r="H30" s="251"/>
      <c r="L30" s="60"/>
      <c r="M30" s="62"/>
    </row>
    <row r="31" spans="1:13" ht="16">
      <c r="A31" s="20"/>
      <c r="B31" s="69" t="s">
        <v>99</v>
      </c>
      <c r="D31" s="20"/>
      <c r="E31" s="257"/>
      <c r="F31" s="257"/>
      <c r="G31" s="257"/>
      <c r="H31" s="252"/>
      <c r="I31" s="145"/>
      <c r="J31" s="20"/>
      <c r="K31" s="9"/>
      <c r="L31" s="66"/>
      <c r="M31" s="66"/>
    </row>
    <row r="32" spans="1:13">
      <c r="A32" s="20"/>
      <c r="B32" s="69"/>
      <c r="C32" s="20" t="str">
        <f>C151</f>
        <v>One-time Equipment costs</v>
      </c>
      <c r="D32" s="20"/>
      <c r="E32" s="147">
        <v>100000</v>
      </c>
      <c r="F32" s="258"/>
      <c r="G32" s="147">
        <v>1200000</v>
      </c>
      <c r="H32" s="251"/>
      <c r="I32" s="147">
        <v>1500000</v>
      </c>
      <c r="J32" s="20"/>
      <c r="K32" s="9"/>
      <c r="L32" s="66" t="s">
        <v>386</v>
      </c>
      <c r="M32" s="62"/>
    </row>
    <row r="33" spans="1:13">
      <c r="A33" s="20"/>
      <c r="B33" s="69"/>
      <c r="C33" s="20" t="str">
        <f t="shared" ref="C33" si="0">C152</f>
        <v>Program Implementation Costs</v>
      </c>
      <c r="E33" s="147">
        <v>10000</v>
      </c>
      <c r="F33" s="259"/>
      <c r="G33" s="147">
        <v>50000</v>
      </c>
      <c r="H33" s="251"/>
      <c r="I33" s="147">
        <v>50000</v>
      </c>
      <c r="J33" s="20"/>
      <c r="K33" s="9"/>
      <c r="L33" s="66" t="s">
        <v>389</v>
      </c>
      <c r="M33" s="62"/>
    </row>
    <row r="34" spans="1:13">
      <c r="A34" s="20"/>
      <c r="B34" s="69"/>
      <c r="C34" s="20" t="s">
        <v>321</v>
      </c>
      <c r="E34" s="158">
        <v>0.1</v>
      </c>
      <c r="F34" s="259"/>
      <c r="G34" s="158">
        <v>1</v>
      </c>
      <c r="H34" s="251"/>
      <c r="I34" s="158">
        <v>1</v>
      </c>
      <c r="J34" s="20"/>
      <c r="K34" s="9"/>
      <c r="L34" s="66" t="s">
        <v>387</v>
      </c>
      <c r="M34" s="62"/>
    </row>
    <row r="35" spans="1:13">
      <c r="A35" s="20"/>
      <c r="B35" s="69"/>
      <c r="C35" s="20" t="s">
        <v>322</v>
      </c>
      <c r="E35" s="156">
        <v>1</v>
      </c>
      <c r="F35" s="259"/>
      <c r="G35" s="156">
        <v>2</v>
      </c>
      <c r="H35" s="251"/>
      <c r="I35" s="156">
        <v>0.25</v>
      </c>
      <c r="J35" s="20"/>
      <c r="K35" s="9"/>
      <c r="L35" s="66" t="s">
        <v>388</v>
      </c>
      <c r="M35" s="62"/>
    </row>
    <row r="36" spans="1:13">
      <c r="A36" s="20"/>
      <c r="B36" s="69"/>
      <c r="C36" s="20"/>
      <c r="F36" s="259"/>
      <c r="H36" s="251"/>
      <c r="J36" s="20"/>
      <c r="K36" s="9"/>
      <c r="L36" s="66"/>
      <c r="M36" s="62"/>
    </row>
    <row r="37" spans="1:13">
      <c r="A37" s="20"/>
      <c r="B37" s="69" t="s">
        <v>318</v>
      </c>
      <c r="D37" s="20"/>
      <c r="F37" s="258"/>
      <c r="H37" s="251"/>
      <c r="J37" s="20"/>
      <c r="K37" s="9"/>
      <c r="L37" s="66"/>
      <c r="M37" s="62"/>
    </row>
    <row r="38" spans="1:13">
      <c r="A38" s="20"/>
      <c r="B38" s="69"/>
      <c r="C38" s="20" t="str">
        <f>C158</f>
        <v>Program Coordinator FTEs</v>
      </c>
      <c r="D38" s="20"/>
      <c r="E38" s="166">
        <v>0</v>
      </c>
      <c r="F38" s="260"/>
      <c r="G38" s="166">
        <v>1</v>
      </c>
      <c r="H38" s="253"/>
      <c r="I38" s="166">
        <v>1</v>
      </c>
      <c r="J38" s="20"/>
      <c r="K38" s="9"/>
      <c r="L38" s="66"/>
      <c r="M38" s="62"/>
    </row>
    <row r="39" spans="1:13">
      <c r="A39" s="20"/>
      <c r="B39" s="69"/>
      <c r="C39" s="20" t="str">
        <f>C160</f>
        <v>Lift Coaches</v>
      </c>
      <c r="D39" s="20"/>
      <c r="E39" s="248">
        <v>0</v>
      </c>
      <c r="F39" s="258"/>
      <c r="G39" s="248">
        <v>0</v>
      </c>
      <c r="H39" s="251"/>
      <c r="I39" s="248">
        <v>1000000</v>
      </c>
      <c r="J39" s="20"/>
      <c r="K39" s="9"/>
      <c r="L39" s="66" t="s">
        <v>385</v>
      </c>
      <c r="M39" s="62"/>
    </row>
    <row r="40" spans="1:13">
      <c r="A40" s="20"/>
      <c r="B40" s="69"/>
      <c r="C40" s="20" t="str">
        <f>C163</f>
        <v>% Clinical Staff Trained Annually</v>
      </c>
      <c r="D40" s="20"/>
      <c r="E40" s="104">
        <v>0.1</v>
      </c>
      <c r="F40" s="258"/>
      <c r="G40" s="104">
        <v>1</v>
      </c>
      <c r="H40" s="251"/>
      <c r="I40" s="104">
        <v>1</v>
      </c>
      <c r="J40" s="20"/>
      <c r="K40" s="9"/>
      <c r="L40" s="66"/>
      <c r="M40" s="62"/>
    </row>
    <row r="41" spans="1:13">
      <c r="A41" s="20"/>
      <c r="B41" s="69"/>
      <c r="C41" s="20" t="s">
        <v>319</v>
      </c>
      <c r="D41" s="20"/>
      <c r="E41" s="156">
        <v>0.25</v>
      </c>
      <c r="F41" s="258"/>
      <c r="G41" s="156">
        <v>2</v>
      </c>
      <c r="H41" s="251"/>
      <c r="I41" s="156">
        <v>0.5</v>
      </c>
      <c r="J41" s="20"/>
      <c r="K41" s="9"/>
      <c r="L41" s="66" t="s">
        <v>327</v>
      </c>
      <c r="M41" s="62"/>
    </row>
    <row r="42" spans="1:13">
      <c r="A42" s="20"/>
      <c r="B42" s="69"/>
      <c r="C42" t="s">
        <v>128</v>
      </c>
      <c r="D42" s="20"/>
      <c r="E42" s="147">
        <v>5000</v>
      </c>
      <c r="F42" s="258"/>
      <c r="G42" s="147">
        <v>130000</v>
      </c>
      <c r="H42" s="251"/>
      <c r="I42" s="147">
        <v>130000</v>
      </c>
      <c r="J42" s="20"/>
      <c r="K42" s="9"/>
      <c r="L42" s="66" t="s">
        <v>328</v>
      </c>
      <c r="M42" s="62"/>
    </row>
    <row r="43" spans="1:13">
      <c r="A43" s="20"/>
      <c r="B43" s="69"/>
      <c r="C43" t="s">
        <v>317</v>
      </c>
      <c r="E43" s="147">
        <v>10000</v>
      </c>
      <c r="F43" s="259"/>
      <c r="G43" s="147">
        <v>160000</v>
      </c>
      <c r="H43" s="251"/>
      <c r="I43" s="147">
        <v>160000</v>
      </c>
      <c r="J43" s="20"/>
      <c r="K43" s="9"/>
      <c r="L43" s="66" t="s">
        <v>328</v>
      </c>
      <c r="M43" s="62"/>
    </row>
    <row r="44" spans="1:13">
      <c r="A44" s="20"/>
      <c r="B44" s="69"/>
      <c r="C44" t="s">
        <v>333</v>
      </c>
      <c r="E44" s="147"/>
      <c r="F44" s="259"/>
      <c r="G44" s="147">
        <v>100000</v>
      </c>
      <c r="H44" s="251"/>
      <c r="I44" s="147">
        <v>100000</v>
      </c>
      <c r="J44" s="20"/>
      <c r="K44" s="9"/>
      <c r="L44" s="66"/>
      <c r="M44" s="62"/>
    </row>
    <row r="45" spans="1:13">
      <c r="A45" s="20"/>
      <c r="B45" s="69"/>
      <c r="F45" s="259"/>
      <c r="H45" s="251"/>
      <c r="J45" s="20"/>
      <c r="K45" s="9"/>
      <c r="L45" s="66"/>
      <c r="M45" s="62"/>
    </row>
    <row r="46" spans="1:13">
      <c r="A46" s="20"/>
      <c r="B46" s="69" t="s">
        <v>301</v>
      </c>
      <c r="D46" s="20"/>
      <c r="F46" s="258"/>
      <c r="H46" s="251"/>
      <c r="J46" s="20"/>
      <c r="K46" s="9"/>
      <c r="L46" s="66"/>
      <c r="M46" s="62"/>
    </row>
    <row r="47" spans="1:13">
      <c r="A47" s="20"/>
      <c r="B47" s="20"/>
      <c r="C47" s="20" t="s">
        <v>298</v>
      </c>
      <c r="D47" s="20"/>
      <c r="E47" s="265">
        <f>G47*25%</f>
        <v>3.7499999999999999E-2</v>
      </c>
      <c r="F47" s="258"/>
      <c r="G47" s="104">
        <v>0.15</v>
      </c>
      <c r="H47" s="251"/>
      <c r="I47" s="104">
        <v>0.25</v>
      </c>
      <c r="J47" s="20"/>
      <c r="K47" s="9"/>
      <c r="L47" s="66"/>
      <c r="M47" s="62"/>
    </row>
    <row r="48" spans="1:13">
      <c r="A48" s="20"/>
      <c r="B48" s="20"/>
      <c r="C48" s="20" t="str">
        <f>C76</f>
        <v>WC Reduction Rate</v>
      </c>
      <c r="D48" s="20"/>
      <c r="E48" s="265">
        <f t="shared" ref="E48:E53" si="1">G48*25%</f>
        <v>0.05</v>
      </c>
      <c r="F48" s="258"/>
      <c r="G48" s="148">
        <v>0.2</v>
      </c>
      <c r="H48" s="251"/>
      <c r="I48" s="148">
        <v>0.5</v>
      </c>
      <c r="J48" s="20"/>
      <c r="K48" s="9"/>
      <c r="L48" s="62" t="s">
        <v>364</v>
      </c>
      <c r="M48" s="62"/>
    </row>
    <row r="49" spans="1:13">
      <c r="A49" s="20"/>
      <c r="B49" s="20"/>
      <c r="C49" s="20" t="str">
        <f>C93</f>
        <v>L&amp;R Reduction Rate</v>
      </c>
      <c r="D49" s="20"/>
      <c r="E49" s="265">
        <f t="shared" si="1"/>
        <v>7.4999999999999997E-2</v>
      </c>
      <c r="F49" s="261"/>
      <c r="G49" s="148">
        <v>0.3</v>
      </c>
      <c r="H49" s="251"/>
      <c r="I49" s="148">
        <v>0.5</v>
      </c>
      <c r="J49" s="20"/>
      <c r="K49" s="9"/>
      <c r="L49" s="66"/>
      <c r="M49" s="62"/>
    </row>
    <row r="50" spans="1:13">
      <c r="A50" s="20"/>
      <c r="B50" s="20"/>
      <c r="C50" s="20" t="str">
        <f>C106</f>
        <v>Reduction on PH-related turnover</v>
      </c>
      <c r="D50" s="20"/>
      <c r="E50" s="265">
        <f t="shared" si="1"/>
        <v>7.4999999999999997E-2</v>
      </c>
      <c r="F50" s="258"/>
      <c r="G50" s="148">
        <v>0.3</v>
      </c>
      <c r="H50" s="251"/>
      <c r="I50" s="148">
        <v>0.5</v>
      </c>
      <c r="J50" s="20"/>
      <c r="K50" s="9"/>
      <c r="L50" s="66" t="s">
        <v>360</v>
      </c>
      <c r="M50" s="62"/>
    </row>
    <row r="51" spans="1:13">
      <c r="A51" s="20"/>
      <c r="B51" s="20"/>
      <c r="C51" s="20" t="str">
        <f>C125</f>
        <v xml:space="preserve">Patient Falls Reduction Rate </v>
      </c>
      <c r="D51" s="20"/>
      <c r="E51" s="265">
        <f t="shared" si="1"/>
        <v>2.5000000000000001E-2</v>
      </c>
      <c r="F51" s="258"/>
      <c r="G51" s="104">
        <v>0.1</v>
      </c>
      <c r="H51" s="251"/>
      <c r="I51" s="104">
        <v>0.15</v>
      </c>
      <c r="J51" s="20"/>
      <c r="K51" s="9"/>
      <c r="L51" s="66"/>
      <c r="M51" s="62"/>
    </row>
    <row r="52" spans="1:13">
      <c r="A52" s="20"/>
      <c r="B52" s="20"/>
      <c r="C52" s="20" t="str">
        <f>C143</f>
        <v xml:space="preserve">Stage 1-2 Reduction Rate </v>
      </c>
      <c r="D52" s="20"/>
      <c r="E52" s="265">
        <f t="shared" si="1"/>
        <v>1.2500000000000001E-2</v>
      </c>
      <c r="F52" s="258"/>
      <c r="G52" s="104">
        <v>0.05</v>
      </c>
      <c r="H52" s="254"/>
      <c r="I52" s="104">
        <v>0.2</v>
      </c>
      <c r="J52" s="20"/>
      <c r="K52" s="9"/>
      <c r="L52" s="66"/>
      <c r="M52" s="62"/>
    </row>
    <row r="53" spans="1:13">
      <c r="A53" s="20"/>
      <c r="B53" s="20"/>
      <c r="C53" s="20" t="str">
        <f>C144</f>
        <v>Stage 3-4 Reduction Rate</v>
      </c>
      <c r="D53" s="20"/>
      <c r="E53" s="265">
        <f t="shared" si="1"/>
        <v>2.5000000000000001E-2</v>
      </c>
      <c r="F53" s="258"/>
      <c r="G53" s="104">
        <v>0.1</v>
      </c>
      <c r="H53" s="251"/>
      <c r="I53" s="104">
        <v>0.3</v>
      </c>
      <c r="J53" s="20"/>
      <c r="K53" s="9"/>
      <c r="L53" s="66"/>
      <c r="M53" s="62"/>
    </row>
    <row r="54" spans="1:13">
      <c r="A54" s="20"/>
      <c r="B54" s="20"/>
      <c r="J54" s="20"/>
      <c r="K54" s="9"/>
      <c r="L54" s="66"/>
      <c r="M54" s="62"/>
    </row>
    <row r="55" spans="1:13" ht="17">
      <c r="A55" s="187" t="s">
        <v>343</v>
      </c>
      <c r="B55" s="187"/>
      <c r="C55" s="187"/>
      <c r="D55" s="187"/>
      <c r="E55" s="188" t="s">
        <v>91</v>
      </c>
      <c r="F55" s="245"/>
      <c r="G55" s="245" t="s">
        <v>329</v>
      </c>
      <c r="H55" s="245"/>
      <c r="I55" s="188" t="s">
        <v>90</v>
      </c>
      <c r="J55" s="189"/>
      <c r="K55" s="9"/>
      <c r="L55" s="66"/>
      <c r="M55" s="62"/>
    </row>
    <row r="56" spans="1:13">
      <c r="B56" s="36" t="s">
        <v>297</v>
      </c>
      <c r="C56" s="8"/>
      <c r="D56" s="8"/>
      <c r="E56" s="108" t="s">
        <v>200</v>
      </c>
      <c r="G56" s="108" t="s">
        <v>201</v>
      </c>
      <c r="I56" s="108" t="s">
        <v>202</v>
      </c>
      <c r="K56" s="38"/>
      <c r="L56" s="60"/>
      <c r="M56" s="62"/>
    </row>
    <row r="57" spans="1:13">
      <c r="B57" s="8"/>
      <c r="C57" s="8"/>
      <c r="D57" s="8"/>
      <c r="E57" s="109">
        <v>0.8</v>
      </c>
      <c r="G57" s="109">
        <v>1</v>
      </c>
      <c r="I57" s="109">
        <v>1.2</v>
      </c>
      <c r="K57" s="38"/>
      <c r="L57" s="60"/>
      <c r="M57" s="62"/>
    </row>
    <row r="58" spans="1:13" ht="17">
      <c r="A58" s="186" t="s">
        <v>35</v>
      </c>
      <c r="B58" s="186"/>
      <c r="C58" s="186"/>
      <c r="D58" s="186"/>
      <c r="E58" s="186"/>
      <c r="F58" s="186"/>
      <c r="G58" s="186"/>
      <c r="H58" s="186"/>
      <c r="I58" s="186"/>
      <c r="J58" s="186"/>
      <c r="K58" s="9"/>
      <c r="L58" s="66"/>
      <c r="M58" s="62"/>
    </row>
    <row r="59" spans="1:13" ht="16" outlineLevel="1">
      <c r="A59" s="24"/>
      <c r="B59" s="8" t="s">
        <v>34</v>
      </c>
      <c r="C59" s="8"/>
      <c r="D59" s="8"/>
      <c r="K59" s="9"/>
      <c r="L59" s="86"/>
      <c r="M59" s="62"/>
    </row>
    <row r="60" spans="1:13" ht="16" outlineLevel="1">
      <c r="A60" s="24"/>
      <c r="B60" s="8"/>
      <c r="C60" t="s">
        <v>36</v>
      </c>
      <c r="D60" s="36"/>
      <c r="E60" s="89">
        <f>G60*WORST</f>
        <v>319200</v>
      </c>
      <c r="F60" s="110"/>
      <c r="G60" s="78">
        <v>399000</v>
      </c>
      <c r="H60" s="121"/>
      <c r="I60" s="89">
        <f>G60*BEST</f>
        <v>478800</v>
      </c>
      <c r="J60" s="132"/>
      <c r="K60" s="11"/>
      <c r="L60" s="80" t="s">
        <v>359</v>
      </c>
      <c r="M60" s="64"/>
    </row>
    <row r="61" spans="1:13" outlineLevel="1">
      <c r="A61" s="24"/>
      <c r="B61" s="8"/>
      <c r="C61" s="36" t="s">
        <v>142</v>
      </c>
      <c r="D61" s="36"/>
      <c r="E61" s="12">
        <f>G61*WORST</f>
        <v>4.0000000000000008E-2</v>
      </c>
      <c r="F61" s="111"/>
      <c r="G61" s="28">
        <v>0.05</v>
      </c>
      <c r="H61" s="122"/>
      <c r="I61" s="12">
        <f>G61*BEST</f>
        <v>0.06</v>
      </c>
      <c r="J61" s="133"/>
      <c r="K61" s="9"/>
      <c r="L61" s="62" t="s">
        <v>363</v>
      </c>
      <c r="M61" s="62"/>
    </row>
    <row r="62" spans="1:13" outlineLevel="1">
      <c r="A62" s="24"/>
      <c r="B62" s="8"/>
      <c r="C62" s="36" t="s">
        <v>143</v>
      </c>
      <c r="D62" s="36"/>
      <c r="E62" s="13">
        <f>G62</f>
        <v>2018</v>
      </c>
      <c r="F62" s="112"/>
      <c r="G62" s="29">
        <v>2018</v>
      </c>
      <c r="H62" s="123"/>
      <c r="I62" s="13">
        <f>G62</f>
        <v>2018</v>
      </c>
      <c r="J62" s="134"/>
      <c r="K62" s="9"/>
      <c r="L62" s="62"/>
      <c r="M62" s="62"/>
    </row>
    <row r="63" spans="1:13" outlineLevel="1">
      <c r="A63" s="24"/>
      <c r="B63" s="36" t="s">
        <v>40</v>
      </c>
      <c r="C63" s="8"/>
      <c r="D63" s="8"/>
      <c r="E63" s="13"/>
      <c r="F63" s="112"/>
      <c r="G63" s="13"/>
      <c r="H63" s="123"/>
      <c r="I63" s="13"/>
      <c r="J63" s="134"/>
      <c r="K63" s="9"/>
      <c r="L63" s="62"/>
      <c r="M63" s="62"/>
    </row>
    <row r="64" spans="1:13" outlineLevel="1">
      <c r="A64" s="24"/>
      <c r="B64" s="8"/>
      <c r="C64" s="36" t="s">
        <v>144</v>
      </c>
      <c r="D64" s="8"/>
      <c r="E64" s="13">
        <f>G64</f>
        <v>2020</v>
      </c>
      <c r="F64" s="112"/>
      <c r="G64" s="29">
        <f>Change_year</f>
        <v>2020</v>
      </c>
      <c r="H64" s="123"/>
      <c r="I64" s="13">
        <f>G64</f>
        <v>2020</v>
      </c>
      <c r="J64" s="134"/>
      <c r="K64" s="9"/>
      <c r="L64" s="62"/>
      <c r="M64" s="62"/>
    </row>
    <row r="65" spans="1:15" outlineLevel="1">
      <c r="A65" s="24"/>
      <c r="B65" s="8"/>
      <c r="C65" s="36" t="s">
        <v>145</v>
      </c>
      <c r="D65" s="8"/>
      <c r="E65" s="10">
        <f>G65</f>
        <v>4</v>
      </c>
      <c r="F65" s="113"/>
      <c r="G65" s="29">
        <v>4</v>
      </c>
      <c r="H65" s="123"/>
      <c r="I65" s="10">
        <f>G65</f>
        <v>4</v>
      </c>
      <c r="J65" s="135"/>
      <c r="K65" s="9"/>
      <c r="L65" s="62" t="s">
        <v>361</v>
      </c>
      <c r="M65" s="62"/>
    </row>
    <row r="66" spans="1:15" outlineLevel="1">
      <c r="A66" s="24"/>
      <c r="B66" s="8"/>
      <c r="C66" s="36" t="s">
        <v>141</v>
      </c>
      <c r="D66" s="36"/>
      <c r="E66" s="12">
        <f>MedMal_Reduction_Rate*WORST</f>
        <v>0.2</v>
      </c>
      <c r="F66" s="111"/>
      <c r="G66" s="12">
        <f>CHOOSE($B$21,E47,G47,I47)</f>
        <v>0.25</v>
      </c>
      <c r="H66" s="124"/>
      <c r="I66" s="12">
        <f>MedMal_Reduction_Rate*BEST</f>
        <v>0.3</v>
      </c>
      <c r="J66" s="133"/>
      <c r="K66" s="8"/>
      <c r="L66" s="62"/>
      <c r="M66" s="62"/>
    </row>
    <row r="67" spans="1:15" ht="17">
      <c r="A67" s="186" t="s">
        <v>162</v>
      </c>
      <c r="B67" s="186"/>
      <c r="C67" s="186"/>
      <c r="D67" s="186"/>
      <c r="E67" s="186"/>
      <c r="F67" s="186"/>
      <c r="G67" s="186"/>
      <c r="H67" s="186"/>
      <c r="I67" s="186"/>
      <c r="J67" s="186"/>
      <c r="K67" s="9"/>
      <c r="L67" s="62"/>
      <c r="M67" s="62"/>
    </row>
    <row r="68" spans="1:15" outlineLevel="1">
      <c r="A68" s="24"/>
      <c r="B68" s="36" t="s">
        <v>131</v>
      </c>
      <c r="C68" s="8"/>
      <c r="D68" s="8"/>
      <c r="E68" s="13"/>
      <c r="F68" s="112"/>
      <c r="G68" s="13"/>
      <c r="H68" s="123"/>
      <c r="I68" s="13"/>
      <c r="J68" s="134"/>
      <c r="K68" s="9"/>
      <c r="L68" s="62"/>
      <c r="M68" s="62"/>
    </row>
    <row r="69" spans="1:15" outlineLevel="1">
      <c r="A69" s="24"/>
      <c r="B69" s="8"/>
      <c r="C69" s="36" t="s">
        <v>146</v>
      </c>
      <c r="D69" s="36"/>
      <c r="E69" s="89">
        <f>WC_Cost_BC*WORST</f>
        <v>1315296</v>
      </c>
      <c r="F69" s="110"/>
      <c r="G69" s="78">
        <v>1644120</v>
      </c>
      <c r="H69" s="121"/>
      <c r="I69" s="90">
        <f>WC_Cost_BC*BEST</f>
        <v>1972944</v>
      </c>
      <c r="J69" s="136"/>
      <c r="K69" s="9"/>
      <c r="L69" s="62" t="s">
        <v>362</v>
      </c>
      <c r="M69" s="62"/>
    </row>
    <row r="70" spans="1:15" hidden="1" outlineLevel="1">
      <c r="A70" s="24"/>
      <c r="B70" s="8"/>
      <c r="C70" s="36" t="s">
        <v>132</v>
      </c>
      <c r="D70" s="36"/>
      <c r="E70" s="27">
        <f>G70-26</f>
        <v>72</v>
      </c>
      <c r="F70" s="113"/>
      <c r="G70" s="27">
        <v>98</v>
      </c>
      <c r="H70" s="125"/>
      <c r="I70" s="146">
        <f>G70+26</f>
        <v>124</v>
      </c>
      <c r="J70" s="137"/>
      <c r="K70" s="9"/>
      <c r="L70" s="62" t="s">
        <v>134</v>
      </c>
      <c r="M70" s="62"/>
      <c r="N70" s="6">
        <v>78</v>
      </c>
      <c r="O70" t="s">
        <v>358</v>
      </c>
    </row>
    <row r="71" spans="1:15" outlineLevel="1">
      <c r="A71" s="24"/>
      <c r="B71" s="8"/>
      <c r="C71" s="36" t="s">
        <v>147</v>
      </c>
      <c r="D71" s="36"/>
      <c r="E71" s="12">
        <f>G71*WORST</f>
        <v>4.0000000000000008E-2</v>
      </c>
      <c r="F71" s="111"/>
      <c r="G71" s="28">
        <v>0.05</v>
      </c>
      <c r="H71" s="122"/>
      <c r="I71" s="12">
        <f>G71*BEST</f>
        <v>0.06</v>
      </c>
      <c r="J71" s="133"/>
      <c r="K71" s="9"/>
      <c r="L71" s="62" t="s">
        <v>363</v>
      </c>
      <c r="M71" s="62"/>
      <c r="N71" s="4"/>
    </row>
    <row r="72" spans="1:15" outlineLevel="1">
      <c r="A72" s="8"/>
      <c r="B72" s="8"/>
      <c r="C72" s="36" t="s">
        <v>148</v>
      </c>
      <c r="D72" s="36"/>
      <c r="E72" s="13">
        <f>G72</f>
        <v>2018</v>
      </c>
      <c r="F72" s="112"/>
      <c r="G72" s="29">
        <v>2018</v>
      </c>
      <c r="H72" s="123"/>
      <c r="I72" s="13">
        <f>G72</f>
        <v>2018</v>
      </c>
      <c r="J72" s="134"/>
      <c r="K72" s="9"/>
      <c r="L72" s="62"/>
      <c r="M72" s="62"/>
      <c r="N72" s="4"/>
    </row>
    <row r="73" spans="1:15" outlineLevel="1">
      <c r="A73" s="24"/>
      <c r="B73" s="36" t="s">
        <v>24</v>
      </c>
      <c r="C73" s="8"/>
      <c r="D73" s="8"/>
      <c r="E73" s="13"/>
      <c r="F73" s="112"/>
      <c r="G73" s="13"/>
      <c r="H73" s="123"/>
      <c r="I73" s="13"/>
      <c r="J73" s="134"/>
      <c r="K73" s="9"/>
      <c r="L73" s="62"/>
      <c r="M73" s="62"/>
    </row>
    <row r="74" spans="1:15" outlineLevel="1">
      <c r="A74" s="24"/>
      <c r="B74" s="8"/>
      <c r="C74" s="36" t="s">
        <v>149</v>
      </c>
      <c r="D74" s="8"/>
      <c r="E74" s="13">
        <f>G74</f>
        <v>2020</v>
      </c>
      <c r="F74" s="112"/>
      <c r="G74" s="29">
        <v>2020</v>
      </c>
      <c r="H74" s="123"/>
      <c r="I74" s="13">
        <f>G74</f>
        <v>2020</v>
      </c>
      <c r="J74" s="134"/>
      <c r="K74" s="9"/>
      <c r="L74" s="62"/>
      <c r="M74" s="62"/>
      <c r="N74" s="74"/>
    </row>
    <row r="75" spans="1:15" outlineLevel="1">
      <c r="A75" s="24"/>
      <c r="B75" s="8"/>
      <c r="C75" s="36" t="s">
        <v>150</v>
      </c>
      <c r="D75" s="8"/>
      <c r="E75" s="10">
        <f>G75</f>
        <v>3</v>
      </c>
      <c r="F75" s="113"/>
      <c r="G75" s="29">
        <v>3</v>
      </c>
      <c r="H75" s="123"/>
      <c r="I75" s="10">
        <f>G75</f>
        <v>3</v>
      </c>
      <c r="J75" s="135"/>
      <c r="K75" s="9"/>
      <c r="L75" s="62"/>
      <c r="M75" s="62"/>
    </row>
    <row r="76" spans="1:15" outlineLevel="1">
      <c r="A76" s="24"/>
      <c r="B76" s="8"/>
      <c r="C76" s="36" t="s">
        <v>151</v>
      </c>
      <c r="D76" s="36"/>
      <c r="E76" s="12">
        <f>G76*WORST</f>
        <v>0.4</v>
      </c>
      <c r="F76" s="111"/>
      <c r="G76" s="12">
        <f>CHOOSE($B$21,E48,G48,I48)</f>
        <v>0.5</v>
      </c>
      <c r="H76" s="124"/>
      <c r="I76" s="12">
        <f>G76*BEST</f>
        <v>0.6</v>
      </c>
      <c r="J76" s="133"/>
      <c r="K76" s="9"/>
      <c r="L76" s="62"/>
      <c r="M76" s="62"/>
      <c r="N76" s="17"/>
    </row>
    <row r="77" spans="1:15" ht="17">
      <c r="A77" s="186" t="s">
        <v>158</v>
      </c>
      <c r="B77" s="186"/>
      <c r="C77" s="186"/>
      <c r="D77" s="186"/>
      <c r="E77" s="186"/>
      <c r="F77" s="186"/>
      <c r="G77" s="186"/>
      <c r="H77" s="186"/>
      <c r="I77" s="186"/>
      <c r="J77" s="186"/>
      <c r="K77" s="9"/>
      <c r="L77" s="62"/>
      <c r="M77" s="62"/>
    </row>
    <row r="78" spans="1:15" ht="16" outlineLevel="1">
      <c r="B78" s="36" t="s">
        <v>133</v>
      </c>
      <c r="C78" s="8"/>
      <c r="D78" s="8"/>
      <c r="E78" s="13"/>
      <c r="F78" s="112"/>
      <c r="G78" s="13"/>
      <c r="H78" s="123"/>
      <c r="I78" s="13"/>
      <c r="J78" s="134"/>
      <c r="K78" s="9"/>
      <c r="L78" s="87"/>
      <c r="M78" s="62"/>
    </row>
    <row r="79" spans="1:15" outlineLevel="1">
      <c r="B79" s="36"/>
      <c r="C79" s="36" t="s">
        <v>163</v>
      </c>
      <c r="D79" s="8"/>
      <c r="E79" s="13">
        <f>G79</f>
        <v>2000</v>
      </c>
      <c r="F79" s="112"/>
      <c r="G79" s="29">
        <v>2000</v>
      </c>
      <c r="H79" s="123"/>
      <c r="I79" s="13">
        <f>G79</f>
        <v>2000</v>
      </c>
      <c r="J79" s="134"/>
      <c r="K79" s="9"/>
      <c r="L79" s="62" t="s">
        <v>369</v>
      </c>
      <c r="M79" s="62"/>
    </row>
    <row r="80" spans="1:15" outlineLevel="1">
      <c r="B80" s="8"/>
      <c r="C80" t="s">
        <v>114</v>
      </c>
      <c r="E80" s="12">
        <v>0.11</v>
      </c>
      <c r="F80" s="111"/>
      <c r="G80" s="30">
        <v>0.1</v>
      </c>
      <c r="H80" s="124"/>
      <c r="I80" s="12">
        <v>0.11</v>
      </c>
      <c r="J80" s="133"/>
      <c r="K80" s="9"/>
      <c r="L80" s="62" t="s">
        <v>348</v>
      </c>
      <c r="M80" s="62"/>
    </row>
    <row r="81" spans="1:16" outlineLevel="1">
      <c r="B81" s="8"/>
      <c r="C81" t="s">
        <v>159</v>
      </c>
      <c r="E81" s="240">
        <v>100000</v>
      </c>
      <c r="F81" s="114"/>
      <c r="G81" s="240">
        <v>120000</v>
      </c>
      <c r="H81" s="126"/>
      <c r="I81" s="78">
        <f>G81*BEST</f>
        <v>144000</v>
      </c>
      <c r="J81" s="132"/>
      <c r="K81" s="9"/>
      <c r="L81" s="62" t="s">
        <v>344</v>
      </c>
      <c r="M81" s="62"/>
      <c r="P81" s="4"/>
    </row>
    <row r="82" spans="1:16" outlineLevel="1">
      <c r="B82" s="8"/>
      <c r="C82" s="36" t="s">
        <v>365</v>
      </c>
      <c r="E82" s="12">
        <f>G82</f>
        <v>0.05</v>
      </c>
      <c r="F82" s="111"/>
      <c r="G82" s="93">
        <v>0.05</v>
      </c>
      <c r="H82" s="127"/>
      <c r="I82" s="12">
        <f>G82</f>
        <v>0.05</v>
      </c>
      <c r="J82" s="133"/>
      <c r="K82" s="9"/>
      <c r="L82" s="62" t="s">
        <v>348</v>
      </c>
      <c r="M82" s="62"/>
    </row>
    <row r="83" spans="1:16" outlineLevel="1">
      <c r="B83" s="8"/>
      <c r="C83" s="36" t="s">
        <v>313</v>
      </c>
      <c r="E83" s="153">
        <f>E79*E80*E81*E82</f>
        <v>1100000</v>
      </c>
      <c r="F83" s="111"/>
      <c r="G83" s="153">
        <f>G79*G80*G81*G82</f>
        <v>1200000</v>
      </c>
      <c r="H83" s="127"/>
      <c r="I83" s="153">
        <f>I79*I80*I81*I82</f>
        <v>1584000</v>
      </c>
      <c r="J83" s="133"/>
      <c r="K83" s="9"/>
      <c r="L83" s="62"/>
      <c r="M83" s="62"/>
    </row>
    <row r="84" spans="1:16" outlineLevel="1">
      <c r="B84" s="8"/>
      <c r="C84" s="36" t="s">
        <v>366</v>
      </c>
      <c r="E84" s="12">
        <f>G84</f>
        <v>0.9</v>
      </c>
      <c r="F84" s="111"/>
      <c r="G84" s="93">
        <v>0.9</v>
      </c>
      <c r="H84" s="127"/>
      <c r="I84" s="12">
        <f>G84</f>
        <v>0.9</v>
      </c>
      <c r="J84" s="133"/>
      <c r="K84" s="9"/>
      <c r="L84" s="62" t="s">
        <v>367</v>
      </c>
      <c r="M84" s="62"/>
      <c r="P84" s="4"/>
    </row>
    <row r="85" spans="1:16" hidden="1" outlineLevel="1">
      <c r="B85" s="8"/>
      <c r="C85" t="s">
        <v>345</v>
      </c>
      <c r="E85" s="243">
        <f>E83*E84</f>
        <v>990000</v>
      </c>
      <c r="G85" s="243">
        <f>G83*G84</f>
        <v>1080000</v>
      </c>
      <c r="H85" s="132"/>
      <c r="I85" s="243">
        <f>I83*I84</f>
        <v>1425600</v>
      </c>
      <c r="L85" s="62"/>
      <c r="M85" s="62"/>
    </row>
    <row r="86" spans="1:16" hidden="1" outlineLevel="1">
      <c r="B86" s="8"/>
      <c r="C86" s="36" t="s">
        <v>346</v>
      </c>
      <c r="E86" s="241">
        <v>600000</v>
      </c>
      <c r="F86" s="111"/>
      <c r="G86" s="240">
        <v>700000</v>
      </c>
      <c r="H86" s="127"/>
      <c r="I86" s="240">
        <v>800000</v>
      </c>
      <c r="J86" s="133"/>
      <c r="K86" s="9"/>
      <c r="L86" s="62" t="s">
        <v>347</v>
      </c>
      <c r="M86" s="62"/>
    </row>
    <row r="87" spans="1:16" outlineLevel="1">
      <c r="B87" s="8"/>
      <c r="C87" s="36" t="s">
        <v>368</v>
      </c>
      <c r="E87" s="91">
        <f>E84*E83</f>
        <v>990000</v>
      </c>
      <c r="F87" s="115" t="s">
        <v>194</v>
      </c>
      <c r="G87" s="91">
        <f>G84*G83</f>
        <v>1080000</v>
      </c>
      <c r="H87" s="127"/>
      <c r="I87" s="91">
        <f>I84*I83</f>
        <v>1425600</v>
      </c>
      <c r="J87" s="132" t="s">
        <v>203</v>
      </c>
      <c r="K87" s="9"/>
      <c r="L87" s="62"/>
      <c r="M87" s="62"/>
      <c r="N87" s="6"/>
    </row>
    <row r="88" spans="1:16" outlineLevel="1">
      <c r="B88" s="8"/>
      <c r="C88" s="39" t="s">
        <v>44</v>
      </c>
      <c r="E88" s="12">
        <f>LR_Growth_Base</f>
        <v>0.05</v>
      </c>
      <c r="F88" s="112" t="s">
        <v>195</v>
      </c>
      <c r="G88" s="30">
        <v>0.05</v>
      </c>
      <c r="H88" s="132"/>
      <c r="I88" s="12">
        <f>LR_Growth_Base</f>
        <v>0.05</v>
      </c>
      <c r="J88" s="133" t="s">
        <v>204</v>
      </c>
      <c r="K88" s="9"/>
      <c r="L88" s="62"/>
      <c r="M88" s="62"/>
    </row>
    <row r="89" spans="1:16" outlineLevel="1">
      <c r="C89" s="39" t="s">
        <v>45</v>
      </c>
      <c r="E89" s="13">
        <f>G89</f>
        <v>2018</v>
      </c>
      <c r="F89" s="112" t="s">
        <v>196</v>
      </c>
      <c r="G89" s="29">
        <v>2018</v>
      </c>
      <c r="H89" s="132"/>
      <c r="I89" s="13">
        <f>G89</f>
        <v>2018</v>
      </c>
      <c r="J89" s="134" t="s">
        <v>205</v>
      </c>
      <c r="K89" s="9"/>
      <c r="L89" s="62"/>
      <c r="M89" s="62"/>
    </row>
    <row r="90" spans="1:16" outlineLevel="1">
      <c r="B90" s="36" t="s">
        <v>155</v>
      </c>
      <c r="H90" s="132"/>
      <c r="L90" s="62"/>
      <c r="M90" s="62"/>
    </row>
    <row r="91" spans="1:16" outlineLevel="1">
      <c r="B91" s="8"/>
      <c r="C91" s="8" t="s">
        <v>17</v>
      </c>
      <c r="E91" s="13">
        <f>G91</f>
        <v>2020</v>
      </c>
      <c r="F91" s="112" t="s">
        <v>198</v>
      </c>
      <c r="G91" s="29">
        <v>2020</v>
      </c>
      <c r="H91" s="132"/>
      <c r="I91" s="13">
        <f>G91</f>
        <v>2020</v>
      </c>
      <c r="J91" s="112" t="s">
        <v>278</v>
      </c>
      <c r="L91" s="62"/>
      <c r="M91" s="62"/>
    </row>
    <row r="92" spans="1:16" outlineLevel="1">
      <c r="B92" s="8"/>
      <c r="C92" s="8" t="s">
        <v>18</v>
      </c>
      <c r="E92" s="10">
        <f>LR_ChangePeriod</f>
        <v>3</v>
      </c>
      <c r="F92" s="112" t="s">
        <v>197</v>
      </c>
      <c r="G92" s="29">
        <v>3</v>
      </c>
      <c r="H92" s="132"/>
      <c r="I92" s="10">
        <f>LR_ChangePeriod</f>
        <v>3</v>
      </c>
      <c r="J92" s="113" t="s">
        <v>206</v>
      </c>
      <c r="L92" s="62"/>
      <c r="M92" s="62"/>
    </row>
    <row r="93" spans="1:16" outlineLevel="1">
      <c r="B93" s="8"/>
      <c r="C93" t="s">
        <v>156</v>
      </c>
      <c r="E93" s="12">
        <f>G93*WORST</f>
        <v>0.4</v>
      </c>
      <c r="F93" s="107" t="s">
        <v>199</v>
      </c>
      <c r="G93" s="12">
        <f>CHOOSE($B$21,E49,G49,I49)</f>
        <v>0.5</v>
      </c>
      <c r="H93" s="132"/>
      <c r="I93" s="12">
        <f>G93*BEST</f>
        <v>0.6</v>
      </c>
      <c r="J93" s="111" t="s">
        <v>207</v>
      </c>
      <c r="K93" s="9"/>
      <c r="L93" s="62"/>
      <c r="M93" s="62"/>
    </row>
    <row r="94" spans="1:16" ht="17">
      <c r="A94" s="186" t="s">
        <v>186</v>
      </c>
      <c r="B94" s="186"/>
      <c r="C94" s="186"/>
      <c r="D94" s="186"/>
      <c r="E94" s="186"/>
      <c r="F94" s="186"/>
      <c r="G94" s="186"/>
      <c r="H94" s="186"/>
      <c r="I94" s="186"/>
      <c r="J94" s="186"/>
      <c r="K94" s="15"/>
      <c r="L94" s="62"/>
      <c r="M94" s="62"/>
    </row>
    <row r="95" spans="1:16" ht="16" hidden="1" outlineLevel="1">
      <c r="B95" s="8" t="s">
        <v>1</v>
      </c>
      <c r="C95" s="14"/>
      <c r="D95" s="14"/>
      <c r="E95" s="13"/>
      <c r="F95" s="112"/>
      <c r="G95" s="13"/>
      <c r="H95" s="123"/>
      <c r="I95" s="13"/>
      <c r="J95" s="134"/>
      <c r="K95" s="9"/>
      <c r="L95" s="87"/>
      <c r="M95" s="62"/>
    </row>
    <row r="96" spans="1:16" hidden="1" outlineLevel="1">
      <c r="B96" s="8"/>
      <c r="C96" s="39" t="s">
        <v>98</v>
      </c>
      <c r="D96" s="39"/>
      <c r="E96" s="191">
        <f>G96</f>
        <v>2000</v>
      </c>
      <c r="F96" s="112" t="s">
        <v>208</v>
      </c>
      <c r="G96" s="10">
        <f>G79</f>
        <v>2000</v>
      </c>
      <c r="H96" s="125"/>
      <c r="I96" s="191">
        <f>G96</f>
        <v>2000</v>
      </c>
      <c r="J96" s="123" t="s">
        <v>211</v>
      </c>
      <c r="K96" s="9"/>
      <c r="L96" s="62"/>
      <c r="M96" s="62"/>
    </row>
    <row r="97" spans="1:15" hidden="1" outlineLevel="1">
      <c r="B97" s="8"/>
      <c r="C97" s="39" t="s">
        <v>110</v>
      </c>
      <c r="D97" s="39"/>
      <c r="E97" s="30">
        <f>G97</f>
        <v>0.05</v>
      </c>
      <c r="F97" s="111" t="s">
        <v>209</v>
      </c>
      <c r="G97" s="30">
        <v>0.05</v>
      </c>
      <c r="H97" s="124"/>
      <c r="I97" s="30">
        <f>G97</f>
        <v>0.05</v>
      </c>
      <c r="J97" s="124" t="s">
        <v>212</v>
      </c>
      <c r="K97" s="9"/>
      <c r="L97" s="62"/>
      <c r="M97" s="62"/>
    </row>
    <row r="98" spans="1:15" hidden="1" outlineLevel="1">
      <c r="B98" s="8"/>
      <c r="C98" s="39" t="s">
        <v>111</v>
      </c>
      <c r="D98" s="39"/>
      <c r="E98" s="192">
        <f>G98</f>
        <v>2019</v>
      </c>
      <c r="F98" s="112" t="s">
        <v>210</v>
      </c>
      <c r="G98" s="29">
        <f>Reference_year</f>
        <v>2019</v>
      </c>
      <c r="H98" s="123"/>
      <c r="I98" s="192">
        <f>G98</f>
        <v>2019</v>
      </c>
      <c r="J98" s="123" t="s">
        <v>213</v>
      </c>
      <c r="K98" s="9"/>
      <c r="L98" s="62"/>
      <c r="M98" s="62"/>
      <c r="O98" s="17"/>
    </row>
    <row r="99" spans="1:15" outlineLevel="1">
      <c r="B99" s="36" t="s">
        <v>42</v>
      </c>
      <c r="C99" s="14"/>
      <c r="D99" s="14"/>
      <c r="E99" s="192"/>
      <c r="F99" s="112"/>
      <c r="G99" s="192"/>
      <c r="H99" s="123"/>
      <c r="I99" s="192"/>
      <c r="J99" s="134"/>
      <c r="K99" s="9"/>
      <c r="L99" s="62"/>
      <c r="M99" s="62"/>
    </row>
    <row r="100" spans="1:15" outlineLevel="1">
      <c r="B100" s="8"/>
      <c r="C100" s="39" t="s">
        <v>43</v>
      </c>
      <c r="D100" s="39"/>
      <c r="E100" s="27">
        <f>G100*0.9</f>
        <v>135000</v>
      </c>
      <c r="F100" s="113" t="s">
        <v>224</v>
      </c>
      <c r="G100" s="27">
        <v>150000</v>
      </c>
      <c r="H100" s="125"/>
      <c r="I100" s="27">
        <f>G100*1.1</f>
        <v>165000</v>
      </c>
      <c r="J100" s="125" t="s">
        <v>227</v>
      </c>
      <c r="K100" s="9"/>
      <c r="L100" s="62" t="s">
        <v>370</v>
      </c>
      <c r="M100" s="62"/>
    </row>
    <row r="101" spans="1:15" ht="14" outlineLevel="1">
      <c r="B101" s="8"/>
      <c r="C101" s="39" t="s">
        <v>44</v>
      </c>
      <c r="D101" s="39"/>
      <c r="E101" s="154">
        <f>Growth_rate</f>
        <v>0.03</v>
      </c>
      <c r="F101" s="111" t="s">
        <v>225</v>
      </c>
      <c r="G101" s="154">
        <f>Growth_rate</f>
        <v>0.03</v>
      </c>
      <c r="H101" s="124"/>
      <c r="I101" s="154">
        <f>Growth_rate</f>
        <v>0.03</v>
      </c>
      <c r="J101" s="124" t="s">
        <v>228</v>
      </c>
      <c r="K101" s="9"/>
      <c r="L101" s="63"/>
      <c r="M101" s="63"/>
    </row>
    <row r="102" spans="1:15" outlineLevel="1">
      <c r="B102" s="8"/>
      <c r="C102" s="39" t="s">
        <v>45</v>
      </c>
      <c r="D102" s="39"/>
      <c r="E102" s="192">
        <f>G102</f>
        <v>2019</v>
      </c>
      <c r="F102" s="112" t="s">
        <v>226</v>
      </c>
      <c r="G102" s="29">
        <f>Reference_year</f>
        <v>2019</v>
      </c>
      <c r="H102" s="123"/>
      <c r="I102" s="192">
        <f>G102</f>
        <v>2019</v>
      </c>
      <c r="J102" s="123" t="s">
        <v>229</v>
      </c>
      <c r="K102" s="9"/>
      <c r="L102" s="62"/>
      <c r="M102" s="62"/>
    </row>
    <row r="103" spans="1:15" outlineLevel="1">
      <c r="B103" s="8" t="s">
        <v>21</v>
      </c>
      <c r="C103" s="14"/>
      <c r="D103" s="14"/>
      <c r="E103" s="192"/>
      <c r="F103" s="112"/>
      <c r="G103" s="192"/>
      <c r="H103" s="123"/>
      <c r="I103" s="192"/>
      <c r="J103" s="134"/>
      <c r="K103" s="9"/>
      <c r="L103" s="62"/>
      <c r="M103" s="62"/>
    </row>
    <row r="104" spans="1:15" outlineLevel="1">
      <c r="B104" s="8"/>
      <c r="C104" s="39" t="s">
        <v>129</v>
      </c>
      <c r="D104" s="39"/>
      <c r="E104" s="154">
        <f>G104</f>
        <v>0.12</v>
      </c>
      <c r="F104" s="111" t="s">
        <v>219</v>
      </c>
      <c r="G104" s="193">
        <v>0.12</v>
      </c>
      <c r="H104" s="194"/>
      <c r="I104" s="154">
        <f>G104</f>
        <v>0.12</v>
      </c>
      <c r="J104" s="124" t="s">
        <v>220</v>
      </c>
      <c r="K104" s="9"/>
      <c r="L104" s="62" t="s">
        <v>371</v>
      </c>
      <c r="M104" s="62"/>
    </row>
    <row r="105" spans="1:15" outlineLevel="1">
      <c r="B105" s="8"/>
      <c r="C105" s="39" t="s">
        <v>352</v>
      </c>
      <c r="D105" s="39"/>
      <c r="E105" s="30">
        <f>G105*WORST</f>
        <v>4.0000000000000008E-2</v>
      </c>
      <c r="F105" s="111" t="s">
        <v>218</v>
      </c>
      <c r="G105" s="30">
        <v>0.05</v>
      </c>
      <c r="H105" s="124"/>
      <c r="I105" s="30">
        <f>G105*BEST</f>
        <v>0.06</v>
      </c>
      <c r="J105" s="124" t="s">
        <v>221</v>
      </c>
      <c r="K105" s="9"/>
      <c r="L105" s="62" t="s">
        <v>372</v>
      </c>
      <c r="M105" s="62"/>
    </row>
    <row r="106" spans="1:15" outlineLevel="1">
      <c r="B106" s="8"/>
      <c r="C106" s="39" t="s">
        <v>153</v>
      </c>
      <c r="D106" s="14"/>
      <c r="E106" s="12">
        <f>G106*0.9</f>
        <v>0.45</v>
      </c>
      <c r="F106" s="111" t="s">
        <v>217</v>
      </c>
      <c r="G106" s="154">
        <f>CHOOSE($B$21,E50,G50,I50)</f>
        <v>0.5</v>
      </c>
      <c r="H106" s="124"/>
      <c r="I106" s="12">
        <f>G106*1.1</f>
        <v>0.55000000000000004</v>
      </c>
      <c r="J106" s="124" t="s">
        <v>222</v>
      </c>
      <c r="K106" s="9"/>
      <c r="L106" s="62"/>
      <c r="M106" s="62"/>
    </row>
    <row r="107" spans="1:15" outlineLevel="1">
      <c r="B107" s="8"/>
      <c r="C107" s="8" t="s">
        <v>17</v>
      </c>
      <c r="D107" s="8"/>
      <c r="E107" s="13">
        <f>G107</f>
        <v>2020</v>
      </c>
      <c r="F107" s="112" t="s">
        <v>216</v>
      </c>
      <c r="G107" s="29">
        <f>Change_year</f>
        <v>2020</v>
      </c>
      <c r="H107" s="123"/>
      <c r="I107" s="13">
        <f>G107</f>
        <v>2020</v>
      </c>
      <c r="J107" s="123" t="s">
        <v>223</v>
      </c>
      <c r="K107" s="9"/>
      <c r="L107" s="62"/>
      <c r="M107" s="62"/>
    </row>
    <row r="108" spans="1:15" outlineLevel="1">
      <c r="B108" s="8"/>
      <c r="C108" s="8" t="s">
        <v>18</v>
      </c>
      <c r="D108" s="8"/>
      <c r="E108" s="10">
        <f>G108</f>
        <v>4</v>
      </c>
      <c r="F108" s="113" t="s">
        <v>214</v>
      </c>
      <c r="G108" s="29">
        <v>4</v>
      </c>
      <c r="H108" s="123"/>
      <c r="I108" s="10">
        <f>G108</f>
        <v>4</v>
      </c>
      <c r="J108" s="125" t="s">
        <v>215</v>
      </c>
      <c r="K108" s="9"/>
      <c r="L108" s="62"/>
      <c r="M108" s="62"/>
    </row>
    <row r="109" spans="1:15" ht="17">
      <c r="A109" s="186" t="s">
        <v>154</v>
      </c>
      <c r="B109" s="186"/>
      <c r="C109" s="186"/>
      <c r="D109" s="186"/>
      <c r="E109" s="186"/>
      <c r="F109" s="186"/>
      <c r="G109" s="186"/>
      <c r="H109" s="186"/>
      <c r="I109" s="186"/>
      <c r="J109" s="186"/>
      <c r="K109" s="9"/>
      <c r="L109" s="62"/>
      <c r="M109" s="62"/>
    </row>
    <row r="110" spans="1:15" ht="16">
      <c r="A110" s="88"/>
      <c r="B110" s="36" t="s">
        <v>154</v>
      </c>
      <c r="E110" s="12"/>
      <c r="F110" s="111"/>
      <c r="G110" s="12"/>
      <c r="H110" s="124"/>
      <c r="I110" s="12"/>
      <c r="J110" s="133"/>
      <c r="K110" s="9"/>
      <c r="L110" s="62"/>
      <c r="M110" s="62"/>
    </row>
    <row r="111" spans="1:15" ht="16">
      <c r="A111" s="88"/>
      <c r="B111" s="8"/>
      <c r="C111" s="40" t="s">
        <v>122</v>
      </c>
      <c r="D111" s="40"/>
      <c r="E111" s="210">
        <f>G111*WORST</f>
        <v>5355.2000000000007</v>
      </c>
      <c r="F111" s="211" t="s">
        <v>230</v>
      </c>
      <c r="G111" s="212">
        <v>6694</v>
      </c>
      <c r="H111" s="213"/>
      <c r="I111" s="210">
        <f>G111*BEST</f>
        <v>8032.7999999999993</v>
      </c>
      <c r="J111" s="214" t="s">
        <v>233</v>
      </c>
      <c r="K111" s="215"/>
      <c r="L111" s="62" t="s">
        <v>341</v>
      </c>
      <c r="M111" s="62"/>
    </row>
    <row r="112" spans="1:15" ht="14" outlineLevel="1">
      <c r="B112" s="8"/>
      <c r="C112" t="s">
        <v>45</v>
      </c>
      <c r="E112" s="216">
        <f>G112</f>
        <v>2018</v>
      </c>
      <c r="F112" s="217" t="s">
        <v>231</v>
      </c>
      <c r="G112" s="218">
        <v>2018</v>
      </c>
      <c r="H112" s="219"/>
      <c r="I112" s="216">
        <f>G112</f>
        <v>2018</v>
      </c>
      <c r="J112" s="220" t="s">
        <v>234</v>
      </c>
      <c r="K112" s="221"/>
      <c r="L112" s="63"/>
      <c r="M112" s="63"/>
    </row>
    <row r="113" spans="1:13" ht="16">
      <c r="A113" s="88"/>
      <c r="B113" s="8"/>
      <c r="C113" s="40" t="s">
        <v>373</v>
      </c>
      <c r="D113" s="40"/>
      <c r="E113" s="222">
        <f>SHC_Patient_Days</f>
        <v>150000</v>
      </c>
      <c r="F113" s="223" t="s">
        <v>236</v>
      </c>
      <c r="G113" s="224">
        <v>150000</v>
      </c>
      <c r="H113" s="225"/>
      <c r="I113" s="222">
        <f>SHC_Patient_Days</f>
        <v>150000</v>
      </c>
      <c r="J113" s="226" t="s">
        <v>235</v>
      </c>
      <c r="K113" s="215"/>
      <c r="L113" s="62"/>
      <c r="M113" s="62"/>
    </row>
    <row r="114" spans="1:13" ht="14" outlineLevel="1">
      <c r="B114" s="8"/>
      <c r="C114" t="s">
        <v>45</v>
      </c>
      <c r="E114" s="216">
        <f>G114</f>
        <v>2018</v>
      </c>
      <c r="F114" s="217" t="s">
        <v>237</v>
      </c>
      <c r="G114" s="218">
        <v>2018</v>
      </c>
      <c r="H114" s="219"/>
      <c r="I114" s="216">
        <f>G114</f>
        <v>2018</v>
      </c>
      <c r="J114" s="220" t="s">
        <v>238</v>
      </c>
      <c r="K114" s="221"/>
      <c r="L114" s="63"/>
      <c r="M114" s="63"/>
    </row>
    <row r="115" spans="1:13" ht="16">
      <c r="A115" s="88"/>
      <c r="B115" s="8"/>
      <c r="C115" s="40" t="s">
        <v>177</v>
      </c>
      <c r="D115" s="40"/>
      <c r="E115" s="227">
        <f>G115*WORST</f>
        <v>4.0000000000000001E-3</v>
      </c>
      <c r="F115" s="228" t="s">
        <v>241</v>
      </c>
      <c r="G115" s="229">
        <v>5.0000000000000001E-3</v>
      </c>
      <c r="H115" s="230"/>
      <c r="I115" s="227">
        <f>G115*BEST</f>
        <v>6.0000000000000001E-3</v>
      </c>
      <c r="J115" s="231" t="s">
        <v>242</v>
      </c>
      <c r="K115" s="215"/>
      <c r="L115" s="62" t="s">
        <v>139</v>
      </c>
      <c r="M115" s="62"/>
    </row>
    <row r="116" spans="1:13" ht="16">
      <c r="A116" s="88"/>
      <c r="B116" s="8"/>
      <c r="C116" s="40" t="s">
        <v>353</v>
      </c>
      <c r="D116" s="40"/>
      <c r="E116" s="232">
        <f>G116*WORST</f>
        <v>0.26400000000000001</v>
      </c>
      <c r="F116" s="233" t="s">
        <v>240</v>
      </c>
      <c r="G116" s="234">
        <v>0.33</v>
      </c>
      <c r="H116" s="235"/>
      <c r="I116" s="232">
        <f>G116*BEST</f>
        <v>0.39600000000000002</v>
      </c>
      <c r="J116" s="236" t="s">
        <v>243</v>
      </c>
      <c r="K116" s="221"/>
      <c r="L116" s="62" t="s">
        <v>351</v>
      </c>
      <c r="M116" s="62"/>
    </row>
    <row r="117" spans="1:13" ht="16">
      <c r="A117" s="88"/>
      <c r="B117" s="8"/>
      <c r="C117" s="40" t="s">
        <v>349</v>
      </c>
      <c r="D117" s="40"/>
      <c r="E117" s="232"/>
      <c r="F117" s="233"/>
      <c r="G117" s="246">
        <f>SHC_Patient_Days*G115*G116</f>
        <v>247.5</v>
      </c>
      <c r="H117" s="235"/>
      <c r="I117" s="232"/>
      <c r="J117" s="236"/>
      <c r="K117" s="221"/>
      <c r="L117" s="62"/>
      <c r="M117" s="62"/>
    </row>
    <row r="118" spans="1:13" ht="16" hidden="1">
      <c r="A118" s="88"/>
      <c r="B118" s="8"/>
      <c r="C118" s="40" t="s">
        <v>350</v>
      </c>
      <c r="D118" s="40"/>
      <c r="E118" s="242">
        <f>G118</f>
        <v>63</v>
      </c>
      <c r="F118" s="237"/>
      <c r="G118" s="242">
        <f>63</f>
        <v>63</v>
      </c>
      <c r="H118" s="238"/>
      <c r="I118" s="242">
        <f>G118</f>
        <v>63</v>
      </c>
      <c r="J118" s="239"/>
      <c r="K118" s="221"/>
      <c r="L118" s="62" t="s">
        <v>354</v>
      </c>
      <c r="M118" s="62"/>
    </row>
    <row r="119" spans="1:13" ht="16" hidden="1">
      <c r="A119" s="88"/>
      <c r="B119" s="8"/>
      <c r="C119" s="40"/>
      <c r="D119" s="40"/>
      <c r="E119" s="247">
        <f>G119</f>
        <v>1.2</v>
      </c>
      <c r="F119" s="237"/>
      <c r="G119" s="234">
        <v>1.2</v>
      </c>
      <c r="H119" s="238"/>
      <c r="I119" s="247">
        <f>G119</f>
        <v>1.2</v>
      </c>
      <c r="J119" s="239"/>
      <c r="K119" s="221"/>
      <c r="L119" s="62" t="s">
        <v>355</v>
      </c>
      <c r="M119" s="62"/>
    </row>
    <row r="120" spans="1:13" ht="16">
      <c r="A120" s="88"/>
      <c r="B120" s="8"/>
      <c r="C120" s="36" t="s">
        <v>167</v>
      </c>
      <c r="D120" s="36"/>
      <c r="E120" s="89">
        <f>E111*E118*E119</f>
        <v>404853.12000000005</v>
      </c>
      <c r="F120" s="110"/>
      <c r="G120" s="89">
        <f>G111*G116*G117</f>
        <v>546732.44999999995</v>
      </c>
      <c r="H120" s="121"/>
      <c r="I120" s="89">
        <f>I111*I118*I119</f>
        <v>607279.67999999993</v>
      </c>
      <c r="J120" s="132"/>
      <c r="K120" s="9"/>
      <c r="L120" s="62"/>
      <c r="M120" s="62"/>
    </row>
    <row r="121" spans="1:13" ht="16">
      <c r="A121" s="88"/>
      <c r="B121" s="8"/>
      <c r="C121" s="39" t="s">
        <v>44</v>
      </c>
      <c r="D121" s="39"/>
      <c r="E121" s="154">
        <f>G121</f>
        <v>0.03</v>
      </c>
      <c r="F121" s="111" t="s">
        <v>232</v>
      </c>
      <c r="G121" s="154">
        <f>Standard_Growth_Rate</f>
        <v>0.03</v>
      </c>
      <c r="H121" s="124"/>
      <c r="I121" s="154">
        <f>G121</f>
        <v>0.03</v>
      </c>
      <c r="J121" s="133" t="s">
        <v>239</v>
      </c>
      <c r="K121" s="9"/>
      <c r="L121" s="62"/>
      <c r="M121" s="62"/>
    </row>
    <row r="122" spans="1:13" ht="16">
      <c r="A122" s="88"/>
      <c r="B122" s="36" t="s">
        <v>136</v>
      </c>
      <c r="C122" s="8"/>
      <c r="D122" s="8"/>
      <c r="E122" s="13"/>
      <c r="F122" s="112"/>
      <c r="G122" s="12"/>
      <c r="H122" s="124"/>
      <c r="I122" s="13"/>
      <c r="J122" s="134"/>
      <c r="K122" s="9"/>
      <c r="L122" s="94"/>
      <c r="M122" s="62"/>
    </row>
    <row r="123" spans="1:13" ht="16">
      <c r="A123" s="88"/>
      <c r="B123" s="8"/>
      <c r="C123" s="8" t="s">
        <v>17</v>
      </c>
      <c r="D123" s="8"/>
      <c r="E123" s="13">
        <f>G123</f>
        <v>2020</v>
      </c>
      <c r="F123" s="112" t="s">
        <v>244</v>
      </c>
      <c r="G123" s="13">
        <f>Change_year</f>
        <v>2020</v>
      </c>
      <c r="H123" s="123"/>
      <c r="I123" s="13">
        <f>G123</f>
        <v>2020</v>
      </c>
      <c r="J123" s="112" t="s">
        <v>247</v>
      </c>
      <c r="K123" s="9"/>
      <c r="L123" s="62"/>
      <c r="M123" s="62"/>
    </row>
    <row r="124" spans="1:13" ht="16">
      <c r="A124" s="88"/>
      <c r="B124" s="8"/>
      <c r="C124" s="8" t="s">
        <v>18</v>
      </c>
      <c r="D124" s="8"/>
      <c r="E124" s="10">
        <f>G124</f>
        <v>3</v>
      </c>
      <c r="F124" s="113" t="s">
        <v>245</v>
      </c>
      <c r="G124" s="29">
        <v>3</v>
      </c>
      <c r="H124" s="123"/>
      <c r="I124" s="10">
        <f>G124</f>
        <v>3</v>
      </c>
      <c r="J124" s="113" t="s">
        <v>248</v>
      </c>
      <c r="K124" s="9"/>
      <c r="L124" s="62"/>
      <c r="M124" s="62"/>
    </row>
    <row r="125" spans="1:13" ht="16">
      <c r="A125" s="88"/>
      <c r="B125" s="8"/>
      <c r="C125" s="36" t="s">
        <v>169</v>
      </c>
      <c r="D125" s="36"/>
      <c r="E125" s="154">
        <f>G125*WORST</f>
        <v>0.12</v>
      </c>
      <c r="F125" s="111" t="s">
        <v>246</v>
      </c>
      <c r="G125" s="154">
        <f>CHOOSE($B$21,E51,G51,I51)</f>
        <v>0.15</v>
      </c>
      <c r="H125" s="124"/>
      <c r="I125" s="154">
        <f>G125*BEST</f>
        <v>0.18</v>
      </c>
      <c r="J125" s="111" t="s">
        <v>249</v>
      </c>
      <c r="K125" s="9"/>
      <c r="L125" s="62"/>
      <c r="M125" s="62"/>
    </row>
    <row r="126" spans="1:13" ht="17">
      <c r="A126" s="186" t="s">
        <v>135</v>
      </c>
      <c r="B126" s="186"/>
      <c r="C126" s="186"/>
      <c r="D126" s="186"/>
      <c r="E126" s="186"/>
      <c r="F126" s="186"/>
      <c r="G126" s="186"/>
      <c r="H126" s="186"/>
      <c r="I126" s="186"/>
      <c r="J126" s="186"/>
      <c r="K126" s="9"/>
      <c r="L126" s="62"/>
      <c r="M126" s="62"/>
    </row>
    <row r="127" spans="1:13" ht="16">
      <c r="A127" s="88"/>
      <c r="B127" s="36" t="s">
        <v>120</v>
      </c>
      <c r="E127" s="12"/>
      <c r="F127" s="111"/>
      <c r="G127" s="12"/>
      <c r="H127" s="124"/>
      <c r="I127" s="12"/>
      <c r="J127" s="133"/>
      <c r="K127" s="9"/>
      <c r="L127" s="62"/>
      <c r="M127" s="62"/>
    </row>
    <row r="128" spans="1:13" ht="17" customHeight="1">
      <c r="A128" s="88"/>
      <c r="B128" s="8"/>
      <c r="C128" s="36" t="s">
        <v>126</v>
      </c>
      <c r="D128" s="36"/>
      <c r="E128" s="89">
        <f>G128*WORST</f>
        <v>3706</v>
      </c>
      <c r="F128" s="110" t="s">
        <v>252</v>
      </c>
      <c r="G128" s="78">
        <f>AVERAGE(2000,6500)*1.09</f>
        <v>4632.5</v>
      </c>
      <c r="H128" s="121"/>
      <c r="I128" s="89">
        <f>G128*BEST</f>
        <v>5559</v>
      </c>
      <c r="J128" s="110" t="s">
        <v>262</v>
      </c>
      <c r="K128" s="9"/>
      <c r="L128" s="281" t="s">
        <v>334</v>
      </c>
      <c r="M128" s="62"/>
    </row>
    <row r="129" spans="1:13" ht="16">
      <c r="A129" s="88"/>
      <c r="B129" s="8"/>
      <c r="C129" s="39" t="s">
        <v>44</v>
      </c>
      <c r="D129" s="39"/>
      <c r="E129" s="154">
        <f>G129</f>
        <v>0.03</v>
      </c>
      <c r="F129" s="110" t="s">
        <v>255</v>
      </c>
      <c r="G129" s="30">
        <f>Standard_Growth_Rate</f>
        <v>0.03</v>
      </c>
      <c r="H129" s="124"/>
      <c r="I129" s="154">
        <f>G129</f>
        <v>0.03</v>
      </c>
      <c r="J129" s="110" t="s">
        <v>263</v>
      </c>
      <c r="K129" s="9"/>
      <c r="L129" s="281"/>
      <c r="M129" s="62"/>
    </row>
    <row r="130" spans="1:13" ht="16">
      <c r="A130" s="88"/>
      <c r="B130" s="8"/>
      <c r="C130" s="39" t="s">
        <v>181</v>
      </c>
      <c r="D130" s="39"/>
      <c r="E130" s="154"/>
      <c r="F130" s="111"/>
      <c r="G130" s="157">
        <v>0.56999999999999995</v>
      </c>
      <c r="H130" s="196"/>
      <c r="I130" s="154"/>
      <c r="J130" s="111"/>
      <c r="K130" s="9"/>
      <c r="L130" s="96" t="s">
        <v>180</v>
      </c>
      <c r="M130" s="62"/>
    </row>
    <row r="131" spans="1:13" ht="16">
      <c r="A131" s="88"/>
      <c r="B131" s="8"/>
      <c r="C131" s="39" t="s">
        <v>177</v>
      </c>
      <c r="D131" s="39"/>
      <c r="E131" s="195">
        <f>G131*WORST</f>
        <v>4.1039999999999991E-3</v>
      </c>
      <c r="F131" s="138" t="s">
        <v>274</v>
      </c>
      <c r="G131" s="195">
        <f>G130/100*90%</f>
        <v>5.1299999999999991E-3</v>
      </c>
      <c r="H131" s="122"/>
      <c r="I131" s="195">
        <f>G131*BEST</f>
        <v>6.1559999999999991E-3</v>
      </c>
      <c r="J131" s="138" t="s">
        <v>275</v>
      </c>
      <c r="K131" s="9"/>
      <c r="L131" s="81" t="s">
        <v>375</v>
      </c>
      <c r="M131" s="62"/>
    </row>
    <row r="132" spans="1:13" ht="16">
      <c r="A132" s="88"/>
      <c r="B132" s="97"/>
      <c r="C132" s="36" t="s">
        <v>123</v>
      </c>
      <c r="D132" s="36"/>
      <c r="E132" s="197">
        <f>G132*WORST</f>
        <v>615.59999999999991</v>
      </c>
      <c r="F132" s="139" t="s">
        <v>251</v>
      </c>
      <c r="G132" s="197">
        <f>SHC_Patient_Days*G131</f>
        <v>769.49999999999989</v>
      </c>
      <c r="H132" s="196"/>
      <c r="I132" s="197">
        <f>G132*BEST</f>
        <v>923.39999999999986</v>
      </c>
      <c r="J132" s="139" t="s">
        <v>264</v>
      </c>
      <c r="K132" s="9"/>
      <c r="L132" s="81"/>
      <c r="M132" s="62"/>
    </row>
    <row r="133" spans="1:13" ht="14" outlineLevel="1">
      <c r="B133" s="8"/>
      <c r="C133" s="39" t="s">
        <v>45</v>
      </c>
      <c r="D133" s="39"/>
      <c r="E133" s="192">
        <f>G133</f>
        <v>2019</v>
      </c>
      <c r="F133" s="112" t="s">
        <v>250</v>
      </c>
      <c r="G133" s="29">
        <f>Reference_year</f>
        <v>2019</v>
      </c>
      <c r="H133" s="123"/>
      <c r="I133" s="192">
        <f>G133</f>
        <v>2019</v>
      </c>
      <c r="J133" s="112" t="s">
        <v>265</v>
      </c>
      <c r="K133" s="9"/>
      <c r="L133" s="81"/>
      <c r="M133" s="63"/>
    </row>
    <row r="134" spans="1:13" ht="16">
      <c r="A134" s="88"/>
      <c r="B134" s="36" t="s">
        <v>121</v>
      </c>
      <c r="C134" s="36"/>
      <c r="D134" s="36"/>
      <c r="E134" s="12"/>
      <c r="F134" s="111"/>
      <c r="G134" s="12"/>
      <c r="H134" s="124"/>
      <c r="I134" s="12"/>
      <c r="J134" s="111"/>
      <c r="K134" s="9"/>
      <c r="L134" s="281" t="s">
        <v>173</v>
      </c>
      <c r="M134" s="62"/>
    </row>
    <row r="135" spans="1:13" ht="18" customHeight="1">
      <c r="A135" s="88"/>
      <c r="B135" s="8"/>
      <c r="C135" s="36" t="s">
        <v>127</v>
      </c>
      <c r="D135" s="36"/>
      <c r="E135" s="89">
        <f>G135*WORST</f>
        <v>13271.840000000004</v>
      </c>
      <c r="F135" s="110" t="s">
        <v>253</v>
      </c>
      <c r="G135" s="89">
        <f>(AVERAGE((AVERAGE(5900,14840)),AVERAGE(18730,21410)))*1.09</f>
        <v>16589.800000000003</v>
      </c>
      <c r="H135" s="121"/>
      <c r="I135" s="89">
        <f>G135*BEST</f>
        <v>19907.760000000002</v>
      </c>
      <c r="J135" s="110" t="s">
        <v>266</v>
      </c>
      <c r="K135" s="9"/>
      <c r="L135" s="281"/>
      <c r="M135" s="62"/>
    </row>
    <row r="136" spans="1:13" ht="16">
      <c r="A136" s="88"/>
      <c r="B136" s="8"/>
      <c r="C136" s="39" t="s">
        <v>44</v>
      </c>
      <c r="D136" s="39"/>
      <c r="E136" s="154">
        <f>G136</f>
        <v>0.03</v>
      </c>
      <c r="F136" s="111" t="s">
        <v>254</v>
      </c>
      <c r="G136" s="30">
        <f>Standard_Growth_Rate</f>
        <v>0.03</v>
      </c>
      <c r="H136" s="124"/>
      <c r="I136" s="154">
        <f>G136</f>
        <v>0.03</v>
      </c>
      <c r="J136" s="111" t="s">
        <v>267</v>
      </c>
      <c r="K136" s="9"/>
      <c r="L136" s="281"/>
      <c r="M136" s="62"/>
    </row>
    <row r="137" spans="1:13" ht="16">
      <c r="A137" s="88"/>
      <c r="B137" s="8"/>
      <c r="C137" s="39" t="s">
        <v>177</v>
      </c>
      <c r="D137" s="39"/>
      <c r="E137" s="195">
        <f>G137*WORST</f>
        <v>4.5600000000000003E-4</v>
      </c>
      <c r="F137" s="198" t="s">
        <v>276</v>
      </c>
      <c r="G137" s="195">
        <f>G130/100*10%</f>
        <v>5.6999999999999998E-4</v>
      </c>
      <c r="H137" s="122"/>
      <c r="I137" s="195">
        <f>G137*BEST</f>
        <v>6.8399999999999993E-4</v>
      </c>
      <c r="J137" s="198" t="s">
        <v>277</v>
      </c>
      <c r="K137" s="9"/>
      <c r="L137" s="81" t="s">
        <v>376</v>
      </c>
      <c r="M137" s="62"/>
    </row>
    <row r="138" spans="1:13" ht="16">
      <c r="A138" s="88"/>
      <c r="B138" s="97"/>
      <c r="C138" s="36" t="s">
        <v>123</v>
      </c>
      <c r="D138" s="36"/>
      <c r="E138" s="197">
        <f>G138*WORST</f>
        <v>68.400000000000006</v>
      </c>
      <c r="F138" s="139" t="s">
        <v>256</v>
      </c>
      <c r="G138" s="197">
        <f>SHC_Patient_Days*G137</f>
        <v>85.5</v>
      </c>
      <c r="H138" s="196"/>
      <c r="I138" s="197">
        <f>G138*BEST</f>
        <v>102.6</v>
      </c>
      <c r="J138" s="139" t="s">
        <v>268</v>
      </c>
      <c r="K138" s="9"/>
      <c r="L138" s="81"/>
      <c r="M138" s="62"/>
    </row>
    <row r="139" spans="1:13" ht="14" outlineLevel="1">
      <c r="B139" s="8"/>
      <c r="C139" s="39" t="s">
        <v>45</v>
      </c>
      <c r="D139" s="39"/>
      <c r="E139" s="192">
        <f>G139</f>
        <v>2019</v>
      </c>
      <c r="F139" s="112" t="s">
        <v>257</v>
      </c>
      <c r="G139" s="29">
        <f>Reference_year</f>
        <v>2019</v>
      </c>
      <c r="H139" s="123"/>
      <c r="I139" s="192">
        <f>G139</f>
        <v>2019</v>
      </c>
      <c r="J139" s="112" t="s">
        <v>269</v>
      </c>
      <c r="K139" s="9"/>
      <c r="L139" s="60"/>
      <c r="M139" s="63"/>
    </row>
    <row r="140" spans="1:13" ht="16">
      <c r="A140" s="88"/>
      <c r="B140" s="36" t="s">
        <v>140</v>
      </c>
      <c r="C140" s="8"/>
      <c r="D140" s="8"/>
      <c r="E140" s="13"/>
      <c r="F140" s="112"/>
      <c r="G140" s="13"/>
      <c r="H140" s="123"/>
      <c r="I140" s="13"/>
      <c r="J140" s="112"/>
      <c r="K140" s="9"/>
      <c r="L140" s="81"/>
      <c r="M140" s="62"/>
    </row>
    <row r="141" spans="1:13" ht="16">
      <c r="A141" s="88"/>
      <c r="B141" s="8"/>
      <c r="C141" s="8" t="s">
        <v>17</v>
      </c>
      <c r="D141" s="8"/>
      <c r="E141" s="13">
        <f>G141</f>
        <v>2020</v>
      </c>
      <c r="F141" s="112" t="s">
        <v>258</v>
      </c>
      <c r="G141" s="13">
        <f>Change_year</f>
        <v>2020</v>
      </c>
      <c r="H141" s="123"/>
      <c r="I141" s="13">
        <f>G141</f>
        <v>2020</v>
      </c>
      <c r="J141" s="112" t="s">
        <v>270</v>
      </c>
      <c r="K141" s="9"/>
      <c r="L141" s="81"/>
      <c r="M141" s="62"/>
    </row>
    <row r="142" spans="1:13" ht="16">
      <c r="A142" s="88"/>
      <c r="B142" s="8"/>
      <c r="C142" s="8" t="s">
        <v>18</v>
      </c>
      <c r="D142" s="8"/>
      <c r="E142" s="10">
        <f>G142</f>
        <v>4</v>
      </c>
      <c r="F142" s="113" t="s">
        <v>259</v>
      </c>
      <c r="G142" s="29">
        <v>4</v>
      </c>
      <c r="H142" s="123"/>
      <c r="I142" s="10">
        <f>G142</f>
        <v>4</v>
      </c>
      <c r="J142" s="113" t="s">
        <v>271</v>
      </c>
      <c r="K142" s="9"/>
      <c r="L142" s="81"/>
      <c r="M142" s="62"/>
    </row>
    <row r="143" spans="1:13" ht="16">
      <c r="A143" s="88"/>
      <c r="B143" s="8"/>
      <c r="C143" s="36" t="s">
        <v>178</v>
      </c>
      <c r="D143" s="8"/>
      <c r="E143" s="154">
        <f>G143*WORST</f>
        <v>0.16000000000000003</v>
      </c>
      <c r="F143" s="199" t="s">
        <v>261</v>
      </c>
      <c r="G143" s="12">
        <f>CHOOSE($B$21,E52,G52,I52)</f>
        <v>0.2</v>
      </c>
      <c r="H143" s="200"/>
      <c r="I143" s="154">
        <f>G143*BEST</f>
        <v>0.24</v>
      </c>
      <c r="J143" s="111" t="s">
        <v>272</v>
      </c>
      <c r="K143" s="9"/>
      <c r="L143" s="81"/>
      <c r="M143" s="62"/>
    </row>
    <row r="144" spans="1:13" ht="16">
      <c r="A144" s="88"/>
      <c r="B144" s="8"/>
      <c r="C144" s="36" t="s">
        <v>179</v>
      </c>
      <c r="D144" s="8"/>
      <c r="E144" s="154">
        <f>G144*WORST</f>
        <v>0.24</v>
      </c>
      <c r="F144" s="199" t="s">
        <v>260</v>
      </c>
      <c r="G144" s="12">
        <f>CHOOSE($B$21,E53,G53,I53)</f>
        <v>0.3</v>
      </c>
      <c r="H144" s="200"/>
      <c r="I144" s="154">
        <f>G144*BEST</f>
        <v>0.36</v>
      </c>
      <c r="J144" s="111" t="s">
        <v>273</v>
      </c>
      <c r="K144" s="9"/>
      <c r="L144" s="62"/>
      <c r="M144" s="62"/>
    </row>
    <row r="145" spans="1:13" ht="17">
      <c r="A145" s="186" t="s">
        <v>124</v>
      </c>
      <c r="B145" s="186"/>
      <c r="C145" s="186"/>
      <c r="D145" s="186"/>
      <c r="E145" s="186"/>
      <c r="F145" s="186"/>
      <c r="G145" s="186"/>
      <c r="H145" s="186"/>
      <c r="I145" s="186"/>
      <c r="J145" s="186"/>
      <c r="K145" s="9"/>
      <c r="L145" s="62"/>
      <c r="M145" s="62"/>
    </row>
    <row r="146" spans="1:13" ht="16">
      <c r="A146" s="88"/>
      <c r="B146" s="36" t="s">
        <v>125</v>
      </c>
      <c r="C146" s="36" t="s">
        <v>357</v>
      </c>
      <c r="D146" s="36"/>
      <c r="E146" s="12"/>
      <c r="F146" s="111"/>
      <c r="G146" s="12"/>
      <c r="H146" s="124"/>
      <c r="I146" s="12"/>
      <c r="J146" s="133"/>
      <c r="K146" s="9"/>
      <c r="L146" s="62" t="s">
        <v>137</v>
      </c>
      <c r="M146" s="62"/>
    </row>
    <row r="147" spans="1:13" ht="16">
      <c r="A147" s="88"/>
      <c r="B147" s="8"/>
      <c r="C147" s="36"/>
      <c r="D147" s="36"/>
      <c r="E147" s="12"/>
      <c r="F147" s="111"/>
      <c r="G147" s="12"/>
      <c r="H147" s="124"/>
      <c r="J147" s="133"/>
      <c r="K147" s="9"/>
      <c r="L147" s="62" t="s">
        <v>138</v>
      </c>
      <c r="M147" s="62"/>
    </row>
    <row r="148" spans="1:13" ht="16">
      <c r="A148" s="88"/>
      <c r="B148" s="8"/>
      <c r="C148" s="36"/>
      <c r="D148" s="36"/>
      <c r="E148" s="12"/>
      <c r="F148" s="111"/>
      <c r="G148" s="12"/>
      <c r="H148" s="124"/>
      <c r="I148" s="12"/>
      <c r="J148" s="133"/>
      <c r="K148" s="9"/>
      <c r="L148" s="62"/>
      <c r="M148" s="62"/>
    </row>
    <row r="149" spans="1:13" ht="17">
      <c r="A149" s="186" t="s">
        <v>99</v>
      </c>
      <c r="B149" s="186"/>
      <c r="C149" s="186"/>
      <c r="D149" s="186"/>
      <c r="E149" s="186"/>
      <c r="F149" s="186"/>
      <c r="G149" s="186"/>
      <c r="H149" s="186"/>
      <c r="I149" s="186"/>
      <c r="J149" s="186"/>
      <c r="K149" s="9"/>
      <c r="L149" s="61"/>
      <c r="M149" s="62"/>
    </row>
    <row r="150" spans="1:13" outlineLevel="1">
      <c r="C150" s="14"/>
      <c r="D150" s="14"/>
      <c r="E150" s="13"/>
      <c r="F150" s="112"/>
      <c r="G150" s="13"/>
      <c r="H150" s="123"/>
      <c r="I150" s="13"/>
      <c r="J150" s="134"/>
      <c r="K150" s="9"/>
      <c r="L150" s="61"/>
      <c r="M150" s="62"/>
    </row>
    <row r="151" spans="1:13" outlineLevel="1">
      <c r="B151" s="8"/>
      <c r="C151" s="36" t="s">
        <v>307</v>
      </c>
      <c r="D151" s="36"/>
      <c r="E151" s="72">
        <f>G151*0.75</f>
        <v>1125000</v>
      </c>
      <c r="F151" s="116"/>
      <c r="G151" s="78">
        <f>CHOOSE($B$21,E32,G32,I32)</f>
        <v>1500000</v>
      </c>
      <c r="H151" s="125"/>
      <c r="I151" s="201">
        <f>G151*1.2</f>
        <v>1800000</v>
      </c>
      <c r="J151" s="202"/>
      <c r="K151" s="9"/>
      <c r="L151" s="60" t="s">
        <v>308</v>
      </c>
      <c r="M151" s="62"/>
    </row>
    <row r="152" spans="1:13" outlineLevel="1">
      <c r="B152" s="8"/>
      <c r="C152" s="8" t="s">
        <v>22</v>
      </c>
      <c r="D152" s="8"/>
      <c r="E152" s="72">
        <f>G152*0.75</f>
        <v>37500</v>
      </c>
      <c r="F152" s="116"/>
      <c r="G152" s="78">
        <f>CHOOSE($B$21,E33,G33,I33)</f>
        <v>50000</v>
      </c>
      <c r="H152" s="125"/>
      <c r="I152" s="201">
        <f>G152*1.2</f>
        <v>60000</v>
      </c>
      <c r="J152" s="202"/>
      <c r="K152" s="9"/>
      <c r="L152" s="66" t="s">
        <v>309</v>
      </c>
      <c r="M152" s="62"/>
    </row>
    <row r="153" spans="1:13" outlineLevel="1">
      <c r="B153" s="36"/>
      <c r="C153" s="8" t="s">
        <v>23</v>
      </c>
      <c r="D153" s="8"/>
      <c r="E153" s="72">
        <f>G153*0.75</f>
        <v>0.1875</v>
      </c>
      <c r="F153" s="116"/>
      <c r="G153" s="78">
        <f>CHOOSE($B$21,E35,G35,I35)</f>
        <v>0.25</v>
      </c>
      <c r="H153" s="125"/>
      <c r="I153" s="201">
        <f>G153*1.2</f>
        <v>0.3</v>
      </c>
      <c r="J153" s="202"/>
      <c r="K153" s="9"/>
      <c r="L153" s="66"/>
      <c r="M153" s="62"/>
    </row>
    <row r="154" spans="1:13" outlineLevel="1">
      <c r="B154" s="8"/>
      <c r="C154" s="98" t="s">
        <v>281</v>
      </c>
      <c r="D154" s="92"/>
      <c r="E154" s="99">
        <f>SUM(E151:E153)</f>
        <v>1162500.1875</v>
      </c>
      <c r="F154" s="117" t="s">
        <v>283</v>
      </c>
      <c r="G154" s="99">
        <f>SUM(G151:G153)</f>
        <v>1550000.25</v>
      </c>
      <c r="H154" s="128" t="s">
        <v>284</v>
      </c>
      <c r="I154" s="100">
        <f>SUM(I151:I153)</f>
        <v>1860000.3</v>
      </c>
      <c r="J154" s="134" t="s">
        <v>285</v>
      </c>
      <c r="K154" s="9"/>
      <c r="L154" s="66"/>
      <c r="M154" s="62"/>
    </row>
    <row r="155" spans="1:13" outlineLevel="1">
      <c r="B155" s="8"/>
      <c r="C155" s="36"/>
      <c r="D155" s="8"/>
      <c r="E155" s="151"/>
      <c r="F155" s="112"/>
      <c r="G155" s="151"/>
      <c r="H155" s="123"/>
      <c r="I155" s="151"/>
      <c r="J155" s="134"/>
      <c r="K155" s="9"/>
      <c r="L155" s="66"/>
      <c r="M155" s="62"/>
    </row>
    <row r="156" spans="1:13" ht="17" outlineLevel="1">
      <c r="A156" s="186" t="s">
        <v>100</v>
      </c>
      <c r="B156" s="185"/>
      <c r="C156" s="185"/>
      <c r="D156" s="185"/>
      <c r="E156" s="185"/>
      <c r="F156" s="190"/>
      <c r="G156" s="185"/>
      <c r="H156" s="190"/>
      <c r="I156" s="185"/>
      <c r="J156" s="190"/>
      <c r="K156" s="9"/>
      <c r="L156" s="61"/>
      <c r="M156" s="62"/>
    </row>
    <row r="157" spans="1:13">
      <c r="B157" s="1" t="s">
        <v>108</v>
      </c>
      <c r="D157" s="1"/>
      <c r="E157"/>
      <c r="F157"/>
      <c r="G157"/>
      <c r="H157"/>
      <c r="I157"/>
      <c r="L157" s="60"/>
      <c r="M157" s="62"/>
    </row>
    <row r="158" spans="1:13">
      <c r="B158" s="1"/>
      <c r="C158" t="s">
        <v>325</v>
      </c>
      <c r="D158" s="1"/>
      <c r="E158">
        <f>G158</f>
        <v>1</v>
      </c>
      <c r="F158" s="1"/>
      <c r="G158" s="24">
        <f>CHOOSE($B$21,E38,G38,I38)</f>
        <v>1</v>
      </c>
      <c r="H158" s="1"/>
      <c r="I158">
        <f>G158</f>
        <v>1</v>
      </c>
      <c r="L158" s="60"/>
      <c r="M158" s="62"/>
    </row>
    <row r="159" spans="1:13">
      <c r="C159" t="s">
        <v>326</v>
      </c>
      <c r="E159" s="72">
        <f>G159*WORST</f>
        <v>100000</v>
      </c>
      <c r="F159"/>
      <c r="G159" s="147">
        <v>125000</v>
      </c>
      <c r="H159"/>
      <c r="I159" s="82">
        <f>G159*BEST</f>
        <v>150000</v>
      </c>
      <c r="J159" s="140"/>
      <c r="L159" s="60"/>
      <c r="M159" s="62"/>
    </row>
    <row r="160" spans="1:13">
      <c r="C160" t="s">
        <v>310</v>
      </c>
      <c r="E160" s="72">
        <f>G160</f>
        <v>1000000</v>
      </c>
      <c r="F160"/>
      <c r="G160" s="74">
        <f>CHOOSE($B$21,E39,G39,I39)</f>
        <v>1000000</v>
      </c>
      <c r="H160"/>
      <c r="I160" s="82">
        <f>G160</f>
        <v>1000000</v>
      </c>
      <c r="J160" s="140"/>
      <c r="L160" s="60" t="s">
        <v>356</v>
      </c>
      <c r="M160" s="62"/>
    </row>
    <row r="161" spans="2:13" ht="14">
      <c r="C161" s="274" t="s">
        <v>109</v>
      </c>
      <c r="D161" s="273"/>
      <c r="E161" s="275">
        <f>SUM(E159:E160)</f>
        <v>1100000</v>
      </c>
      <c r="F161" s="273"/>
      <c r="G161" s="276">
        <f>G158*G159+G160</f>
        <v>1125000</v>
      </c>
      <c r="H161" s="273"/>
      <c r="I161" s="275">
        <f>SUM(I159:I160)</f>
        <v>1150000</v>
      </c>
      <c r="J161" s="141"/>
      <c r="L161" s="60"/>
      <c r="M161" s="62"/>
    </row>
    <row r="162" spans="2:13">
      <c r="B162" s="1" t="s">
        <v>311</v>
      </c>
      <c r="D162" s="1"/>
      <c r="E162"/>
      <c r="F162" s="1"/>
      <c r="G162" s="1"/>
      <c r="H162" s="1"/>
      <c r="I162"/>
      <c r="L162" s="60"/>
      <c r="M162" s="62"/>
    </row>
    <row r="163" spans="2:13">
      <c r="C163" t="s">
        <v>320</v>
      </c>
      <c r="E163" s="17">
        <f>G163</f>
        <v>1</v>
      </c>
      <c r="F163"/>
      <c r="G163" s="17">
        <f>CHOOSE($B$21,E40,G40,I40)</f>
        <v>1</v>
      </c>
      <c r="H163"/>
      <c r="I163" s="249">
        <f>G163</f>
        <v>1</v>
      </c>
      <c r="J163" s="142"/>
      <c r="L163" s="60"/>
      <c r="M163" s="62"/>
    </row>
    <row r="164" spans="2:13">
      <c r="C164" t="s">
        <v>101</v>
      </c>
      <c r="E164">
        <f>G164</f>
        <v>1</v>
      </c>
      <c r="F164"/>
      <c r="G164">
        <v>1</v>
      </c>
      <c r="H164"/>
      <c r="I164">
        <f>G164</f>
        <v>1</v>
      </c>
      <c r="L164" s="60"/>
      <c r="M164" s="62"/>
    </row>
    <row r="165" spans="2:13">
      <c r="C165" t="s">
        <v>102</v>
      </c>
      <c r="E165">
        <f>G165</f>
        <v>2000</v>
      </c>
      <c r="F165"/>
      <c r="G165">
        <f>G163*G164*G79</f>
        <v>2000</v>
      </c>
      <c r="H165"/>
      <c r="I165">
        <f>G165</f>
        <v>2000</v>
      </c>
      <c r="L165" s="60"/>
      <c r="M165" s="62"/>
    </row>
    <row r="166" spans="2:13">
      <c r="C166" t="s">
        <v>103</v>
      </c>
      <c r="E166" s="72">
        <f>G166</f>
        <v>75</v>
      </c>
      <c r="F166"/>
      <c r="G166" s="147">
        <v>75</v>
      </c>
      <c r="H166"/>
      <c r="I166" s="82">
        <f>G166</f>
        <v>75</v>
      </c>
      <c r="J166" s="140"/>
      <c r="L166" s="60"/>
      <c r="M166" s="62"/>
    </row>
    <row r="167" spans="2:13">
      <c r="C167" t="s">
        <v>333</v>
      </c>
      <c r="E167" s="72">
        <v>50000</v>
      </c>
      <c r="F167"/>
      <c r="G167" s="152">
        <f>CHOOSE($B$21,E44,G44,I44)</f>
        <v>100000</v>
      </c>
      <c r="H167"/>
      <c r="I167" s="74">
        <v>120000</v>
      </c>
      <c r="J167" s="140"/>
      <c r="L167" s="60"/>
      <c r="M167" s="62"/>
    </row>
    <row r="168" spans="2:13" ht="14">
      <c r="C168" s="274" t="s">
        <v>104</v>
      </c>
      <c r="D168" s="277"/>
      <c r="E168" s="276">
        <f>E165*E166+E167</f>
        <v>200000</v>
      </c>
      <c r="F168" s="277"/>
      <c r="G168" s="276">
        <f>G165*G166+G167</f>
        <v>250000</v>
      </c>
      <c r="H168" s="277"/>
      <c r="I168" s="276">
        <f>I165*I166+I167</f>
        <v>270000</v>
      </c>
      <c r="J168" s="143"/>
      <c r="L168" s="60"/>
      <c r="M168" s="62"/>
    </row>
    <row r="169" spans="2:13">
      <c r="B169" s="106" t="s">
        <v>296</v>
      </c>
      <c r="C169" s="37"/>
      <c r="D169" s="37"/>
      <c r="E169" s="37"/>
      <c r="F169"/>
      <c r="G169"/>
      <c r="H169"/>
      <c r="I169" s="37"/>
      <c r="L169" s="60"/>
      <c r="M169" s="62"/>
    </row>
    <row r="170" spans="2:13">
      <c r="C170" t="s">
        <v>128</v>
      </c>
      <c r="E170" s="72">
        <f>G170</f>
        <v>130000</v>
      </c>
      <c r="F170" s="37"/>
      <c r="G170" s="152">
        <f>CHOOSE($B$21,E42,G42,I42)</f>
        <v>130000</v>
      </c>
      <c r="H170" s="37"/>
      <c r="I170" s="82">
        <f>G170</f>
        <v>130000</v>
      </c>
      <c r="J170" s="140"/>
      <c r="L170" s="60"/>
      <c r="M170" s="62"/>
    </row>
    <row r="171" spans="2:13">
      <c r="C171" t="s">
        <v>317</v>
      </c>
      <c r="E171" s="72">
        <f>G171</f>
        <v>160000</v>
      </c>
      <c r="F171" s="1"/>
      <c r="G171" s="164">
        <f>CHOOSE($B$21,E43,G43,I43)</f>
        <v>160000</v>
      </c>
      <c r="H171" s="1"/>
      <c r="I171" s="82">
        <f>G171</f>
        <v>160000</v>
      </c>
      <c r="J171" s="140"/>
      <c r="L171" s="60" t="s">
        <v>342</v>
      </c>
      <c r="M171" s="62"/>
    </row>
    <row r="172" spans="2:13" ht="14">
      <c r="C172" s="274" t="s">
        <v>312</v>
      </c>
      <c r="D172" s="277"/>
      <c r="E172" s="276">
        <f>SUM(E170:E171)</f>
        <v>290000</v>
      </c>
      <c r="F172" s="277"/>
      <c r="G172" s="276">
        <f>SUM(G170:G171)</f>
        <v>290000</v>
      </c>
      <c r="H172" s="278"/>
      <c r="I172" s="276">
        <f t="shared" ref="I172" si="2">SUM(I170:I171)</f>
        <v>290000</v>
      </c>
      <c r="J172" s="142"/>
      <c r="L172" s="60"/>
      <c r="M172" s="62"/>
    </row>
    <row r="173" spans="2:13">
      <c r="E173" s="65"/>
      <c r="F173" s="115"/>
      <c r="G173" s="65"/>
      <c r="H173" s="129"/>
      <c r="I173" s="65"/>
      <c r="J173" s="142"/>
      <c r="L173" s="60"/>
      <c r="M173" s="62"/>
    </row>
    <row r="174" spans="2:13">
      <c r="C174" s="79" t="s">
        <v>26</v>
      </c>
      <c r="D174" s="92"/>
      <c r="E174" s="165">
        <f>E161+E168+E172</f>
        <v>1590000</v>
      </c>
      <c r="F174" s="118" t="s">
        <v>279</v>
      </c>
      <c r="G174" s="165">
        <f>G161+G168+G172</f>
        <v>1665000</v>
      </c>
      <c r="H174" s="118" t="s">
        <v>282</v>
      </c>
      <c r="I174" s="165">
        <f>I161+I168+I172</f>
        <v>1710000</v>
      </c>
      <c r="J174" s="135" t="s">
        <v>280</v>
      </c>
      <c r="L174" s="60"/>
      <c r="M174" s="62"/>
    </row>
    <row r="175" spans="2:13" outlineLevel="1">
      <c r="B175" s="8"/>
      <c r="C175" s="8" t="s">
        <v>27</v>
      </c>
      <c r="D175" s="8"/>
      <c r="E175" s="30">
        <f>CostsGrow_B</f>
        <v>0.03</v>
      </c>
      <c r="F175" s="111" t="s">
        <v>286</v>
      </c>
      <c r="G175" s="30">
        <v>0.03</v>
      </c>
      <c r="H175" s="111" t="s">
        <v>288</v>
      </c>
      <c r="I175" s="30">
        <f>CostsGrow_B</f>
        <v>0.03</v>
      </c>
      <c r="J175" s="111" t="s">
        <v>290</v>
      </c>
      <c r="L175" s="60"/>
      <c r="M175" s="62"/>
    </row>
    <row r="176" spans="2:13" outlineLevel="1">
      <c r="B176" s="8"/>
      <c r="C176" s="8" t="s">
        <v>28</v>
      </c>
      <c r="D176" s="8"/>
      <c r="E176">
        <f>G176</f>
        <v>2019</v>
      </c>
      <c r="F176" t="s">
        <v>287</v>
      </c>
      <c r="G176">
        <f>Reference_year</f>
        <v>2019</v>
      </c>
      <c r="H176" t="s">
        <v>289</v>
      </c>
      <c r="I176">
        <f>G176</f>
        <v>2019</v>
      </c>
      <c r="J176" s="112" t="s">
        <v>291</v>
      </c>
      <c r="L176" s="60"/>
      <c r="M176" s="62"/>
    </row>
    <row r="177" spans="5:13">
      <c r="E177" s="26"/>
      <c r="G177" s="26"/>
      <c r="I177" s="26"/>
      <c r="L177" s="60"/>
      <c r="M177" s="62"/>
    </row>
    <row r="178" spans="5:13">
      <c r="E178" s="26"/>
      <c r="G178" s="26"/>
      <c r="I178" s="26"/>
      <c r="L178" s="60"/>
      <c r="M178" s="62"/>
    </row>
    <row r="179" spans="5:13">
      <c r="E179" s="26"/>
      <c r="G179" s="26"/>
      <c r="I179" s="26"/>
      <c r="L179" s="60"/>
      <c r="M179" s="62"/>
    </row>
    <row r="180" spans="5:13">
      <c r="E180" s="26"/>
      <c r="G180" s="26"/>
      <c r="I180" s="26"/>
      <c r="L180" s="60"/>
      <c r="M180" s="62"/>
    </row>
    <row r="181" spans="5:13">
      <c r="E181" s="26"/>
      <c r="G181" s="26"/>
      <c r="I181" s="26"/>
      <c r="L181" s="60"/>
      <c r="M181" s="62"/>
    </row>
    <row r="182" spans="5:13">
      <c r="L182" s="60"/>
      <c r="M182" s="62"/>
    </row>
    <row r="183" spans="5:13">
      <c r="L183" s="60"/>
      <c r="M183" s="62"/>
    </row>
    <row r="219" spans="3:13">
      <c r="C219" s="76"/>
      <c r="D219" s="76"/>
      <c r="E219" s="76"/>
      <c r="F219" s="119"/>
      <c r="G219" s="76"/>
      <c r="H219" s="130"/>
      <c r="I219" s="76"/>
      <c r="J219" s="144"/>
      <c r="K219" s="76"/>
      <c r="L219" s="77"/>
      <c r="M219" s="76"/>
    </row>
    <row r="220" spans="3:13">
      <c r="C220" s="20"/>
      <c r="D220" s="20"/>
      <c r="I220"/>
    </row>
    <row r="221" spans="3:13">
      <c r="C221" s="20"/>
      <c r="D221" s="20"/>
      <c r="I221"/>
    </row>
    <row r="222" spans="3:13">
      <c r="C222" s="20"/>
      <c r="D222" s="20"/>
      <c r="I222"/>
    </row>
    <row r="223" spans="3:13">
      <c r="C223" s="20"/>
      <c r="D223" s="20"/>
      <c r="I223"/>
      <c r="K223" s="20"/>
      <c r="L223" s="75"/>
      <c r="M223" s="6"/>
    </row>
    <row r="224" spans="3:13">
      <c r="C224" s="20"/>
      <c r="D224" s="20"/>
      <c r="I224"/>
      <c r="L224" s="75"/>
      <c r="M224" s="6"/>
    </row>
    <row r="225" spans="3:13">
      <c r="C225" s="20"/>
      <c r="D225" s="20"/>
      <c r="I225"/>
      <c r="L225" s="75"/>
      <c r="M225" s="6"/>
    </row>
    <row r="226" spans="3:13">
      <c r="E226"/>
      <c r="G226"/>
      <c r="I226"/>
      <c r="L226"/>
    </row>
    <row r="227" spans="3:13">
      <c r="E227"/>
      <c r="G227"/>
      <c r="I227"/>
      <c r="L227"/>
      <c r="M227" s="6"/>
    </row>
    <row r="228" spans="3:13">
      <c r="E228"/>
      <c r="G228"/>
      <c r="I228"/>
      <c r="L228"/>
      <c r="M228" s="4"/>
    </row>
    <row r="229" spans="3:13">
      <c r="E229"/>
      <c r="G229"/>
      <c r="I229"/>
      <c r="L229"/>
      <c r="M229" s="6"/>
    </row>
  </sheetData>
  <scenarios current="0" show="0" sqref="E43 I43">
    <scenario name="1" locked="1" count="1" user="Simon Mawer" comment="Created by Simon Mawer on 3/4/2019">
      <inputCells r="B21" val="1"/>
    </scenario>
    <scenario name="2" locked="1" count="1" user="Simon Mawer" comment="Created by Simon Mawer on 3/4/2019">
      <inputCells r="B21" val="2"/>
    </scenario>
    <scenario name="3" locked="1" count="1" user="Simon Mawer" comment="Created by Simon Mawer on 3/4/2019">
      <inputCells r="B21" val="3"/>
    </scenario>
  </scenarios>
  <mergeCells count="2">
    <mergeCell ref="L128:L129"/>
    <mergeCell ref="L134:L136"/>
  </mergeCells>
  <dataValidations count="1">
    <dataValidation type="list" allowBlank="1" showInputMessage="1" showErrorMessage="1" promptTitle="Select Scenario" sqref="B21" xr:uid="{27D9B0C9-6D85-8A49-9744-96BD21713789}">
      <formula1>$A$24:$A$26</formula1>
    </dataValidation>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0:W141"/>
  <sheetViews>
    <sheetView showGridLines="0" zoomScale="75" workbookViewId="0">
      <selection activeCell="B14" sqref="B14"/>
    </sheetView>
  </sheetViews>
  <sheetFormatPr baseColWidth="10" defaultColWidth="7.6640625" defaultRowHeight="13"/>
  <cols>
    <col min="1" max="1" width="9.6640625" customWidth="1"/>
    <col min="2" max="2" width="40.33203125" customWidth="1"/>
    <col min="3" max="7" width="14.33203125" customWidth="1"/>
    <col min="8" max="8" width="10.6640625" customWidth="1"/>
    <col min="9" max="9" width="7.6640625" customWidth="1"/>
    <col min="10" max="10" width="39.1640625" bestFit="1" customWidth="1"/>
    <col min="11" max="11" width="13.6640625" bestFit="1" customWidth="1"/>
    <col min="12" max="12" width="16.6640625" customWidth="1"/>
    <col min="13" max="15" width="13.6640625" bestFit="1" customWidth="1"/>
    <col min="18" max="18" width="39.1640625" bestFit="1" customWidth="1"/>
    <col min="19" max="19" width="14.6640625" bestFit="1" customWidth="1"/>
    <col min="20" max="20" width="16.83203125" customWidth="1"/>
    <col min="21" max="23" width="14.6640625" bestFit="1" customWidth="1"/>
  </cols>
  <sheetData>
    <row r="10" spans="1:23" ht="19">
      <c r="A10" s="62"/>
      <c r="B10" s="179" t="s">
        <v>338</v>
      </c>
      <c r="C10" s="167"/>
      <c r="D10" s="168"/>
      <c r="E10" s="62"/>
      <c r="F10" s="62"/>
      <c r="G10" s="62"/>
      <c r="H10" s="62"/>
      <c r="I10" s="62"/>
      <c r="J10" s="62"/>
      <c r="K10" s="62"/>
      <c r="L10" s="62"/>
      <c r="M10" s="62"/>
      <c r="N10" s="168"/>
      <c r="O10" s="62"/>
      <c r="P10" s="62"/>
      <c r="Q10" s="62"/>
      <c r="R10" s="62"/>
      <c r="S10" s="62"/>
      <c r="T10" s="62"/>
      <c r="U10" s="62"/>
      <c r="V10" s="62"/>
      <c r="W10" s="62"/>
    </row>
    <row r="12" spans="1:23">
      <c r="B12" t="s">
        <v>390</v>
      </c>
    </row>
    <row r="15" spans="1:23" ht="19" customHeight="1"/>
    <row r="16" spans="1:23" s="206" customFormat="1" ht="23">
      <c r="B16" s="207" t="s">
        <v>93</v>
      </c>
      <c r="C16" s="208"/>
      <c r="D16" s="209"/>
      <c r="E16" s="209"/>
      <c r="F16" s="209"/>
      <c r="G16" s="208"/>
      <c r="H16" s="204"/>
      <c r="I16" s="205"/>
      <c r="J16" s="207" t="s">
        <v>96</v>
      </c>
      <c r="K16" s="208"/>
      <c r="L16" s="209"/>
      <c r="M16" s="209"/>
      <c r="N16" s="209"/>
      <c r="O16" s="208"/>
      <c r="R16" s="207" t="s">
        <v>97</v>
      </c>
      <c r="S16" s="208"/>
      <c r="T16" s="209"/>
      <c r="U16" s="209"/>
      <c r="V16" s="209"/>
      <c r="W16" s="208"/>
    </row>
    <row r="18" spans="1:23">
      <c r="C18" s="57">
        <v>1</v>
      </c>
      <c r="D18" s="57">
        <f>C18+1</f>
        <v>2</v>
      </c>
      <c r="E18" s="57">
        <f>D18+1</f>
        <v>3</v>
      </c>
      <c r="F18" s="57">
        <f>E18+1</f>
        <v>4</v>
      </c>
      <c r="G18" s="57">
        <f>F18+1</f>
        <v>5</v>
      </c>
      <c r="K18" s="57">
        <f>Calculations!C18</f>
        <v>1</v>
      </c>
      <c r="L18" s="57">
        <f>K18+1</f>
        <v>2</v>
      </c>
      <c r="M18" s="57">
        <f>L18+1</f>
        <v>3</v>
      </c>
      <c r="N18" s="57">
        <f>M18+1</f>
        <v>4</v>
      </c>
      <c r="O18" s="57">
        <f>N18+1</f>
        <v>5</v>
      </c>
      <c r="S18" s="57">
        <f>Calculations!C18</f>
        <v>1</v>
      </c>
      <c r="T18" s="57">
        <f>S18+1</f>
        <v>2</v>
      </c>
      <c r="U18" s="57">
        <f>T18+1</f>
        <v>3</v>
      </c>
      <c r="V18" s="57">
        <f>U18+1</f>
        <v>4</v>
      </c>
      <c r="W18" s="57">
        <f>V18+1</f>
        <v>5</v>
      </c>
    </row>
    <row r="19" spans="1:23">
      <c r="B19" s="1" t="s">
        <v>0</v>
      </c>
      <c r="C19" s="23">
        <f>Reference_year+C18</f>
        <v>2020</v>
      </c>
      <c r="D19" s="23">
        <f>Reference_year+D18</f>
        <v>2021</v>
      </c>
      <c r="E19" s="23">
        <f>Reference_year+E18</f>
        <v>2022</v>
      </c>
      <c r="F19" s="23">
        <f>Reference_year+F18</f>
        <v>2023</v>
      </c>
      <c r="G19" s="23">
        <f>Reference_year+G18</f>
        <v>2024</v>
      </c>
      <c r="J19" s="1" t="s">
        <v>0</v>
      </c>
      <c r="K19" s="23">
        <f>Calculations!C19</f>
        <v>2020</v>
      </c>
      <c r="L19" s="23">
        <f>Calculations!D19</f>
        <v>2021</v>
      </c>
      <c r="M19" s="23">
        <f>Calculations!E19</f>
        <v>2022</v>
      </c>
      <c r="N19" s="23">
        <f>Calculations!F19</f>
        <v>2023</v>
      </c>
      <c r="O19" s="23">
        <f>Calculations!G19</f>
        <v>2024</v>
      </c>
      <c r="R19" s="1" t="s">
        <v>0</v>
      </c>
      <c r="S19" s="22">
        <f>Calculations!C19</f>
        <v>2020</v>
      </c>
      <c r="T19" s="22">
        <f>Calculations!D19</f>
        <v>2021</v>
      </c>
      <c r="U19" s="22">
        <f>Calculations!E19</f>
        <v>2022</v>
      </c>
      <c r="V19" s="22">
        <f>Calculations!F19</f>
        <v>2023</v>
      </c>
      <c r="W19" s="22">
        <f>Calculations!G19</f>
        <v>2024</v>
      </c>
    </row>
    <row r="20" spans="1:23">
      <c r="A20" s="71"/>
    </row>
    <row r="22" spans="1:23">
      <c r="B22" s="1" t="str">
        <f>Inputs!A58</f>
        <v>Medical Malpractice</v>
      </c>
      <c r="J22" s="1" t="str">
        <f>Inputs!A58</f>
        <v>Medical Malpractice</v>
      </c>
      <c r="R22" s="1" t="str">
        <f>Inputs!A58</f>
        <v>Medical Malpractice</v>
      </c>
    </row>
    <row r="23" spans="1:23" ht="14" customHeight="1">
      <c r="B23" t="s">
        <v>36</v>
      </c>
      <c r="C23" s="31">
        <f>MedMal_Cost*(1+MedMal_Growth_Rate)^(C19-MedMal_Ref_Year)</f>
        <v>439897.5</v>
      </c>
      <c r="D23" s="31">
        <f>MedMal_Cost*(1+MedMal_Growth_Rate)^(D19-MedMal_Ref_Year)</f>
        <v>461892.37500000006</v>
      </c>
      <c r="E23" s="31">
        <f>MedMal_Cost*(1+MedMal_Growth_Rate)^(E19-MedMal_Ref_Year)</f>
        <v>484986.99375000002</v>
      </c>
      <c r="F23" s="31">
        <f>MedMal_Cost*(1+MedMal_Growth_Rate)^(F19-MedMal_Ref_Year)</f>
        <v>509236.34343750007</v>
      </c>
      <c r="G23" s="31">
        <f>MedMal_Cost*(1+MedMal_Growth_Rate)^(G19-MedMal_Ref_Year)</f>
        <v>534698.16060937499</v>
      </c>
      <c r="J23" t="s">
        <v>36</v>
      </c>
      <c r="K23" s="31">
        <f>Inputs!$E$60*(1+Inputs!$E$61)^($K$19-Inputs!$E$62)</f>
        <v>345246.72000000003</v>
      </c>
      <c r="L23" s="31">
        <f>Inputs!$E$60*(1+Inputs!$E$61)^(L19-Inputs!$E$62)</f>
        <v>359056.58880000003</v>
      </c>
      <c r="M23" s="31">
        <f>Inputs!$E$60*(1+Inputs!$E$61)^(M19-Inputs!$E$62)</f>
        <v>373418.85235200007</v>
      </c>
      <c r="N23" s="31">
        <f>Inputs!$E$60*(1+Inputs!$E$61)^(N19-Inputs!$E$62)</f>
        <v>388355.60644608008</v>
      </c>
      <c r="O23" s="31">
        <f>Inputs!$E$60*(1+Inputs!$E$61)^(O19-Inputs!$E$62)</f>
        <v>403889.8307039233</v>
      </c>
      <c r="R23" t="s">
        <v>36</v>
      </c>
      <c r="S23" s="31">
        <f>Inputs!$I$60*(1+Inputs!$I$61)^($S$19-Inputs!$I$62)</f>
        <v>537979.68000000005</v>
      </c>
      <c r="T23" s="31">
        <f>Inputs!$I$60*(1+Inputs!$I$61)^($S$19-Inputs!$I$62)</f>
        <v>537979.68000000005</v>
      </c>
      <c r="U23" s="31">
        <f>Inputs!$I$60*(1+Inputs!$I$61)^($S$19-Inputs!$I$62)</f>
        <v>537979.68000000005</v>
      </c>
      <c r="V23" s="31">
        <f>Inputs!$I$60*(1+Inputs!$I$61)^($S$19-Inputs!$I$62)</f>
        <v>537979.68000000005</v>
      </c>
      <c r="W23" s="31">
        <f>Inputs!$I$60*(1+Inputs!$I$61)^($S$19-Inputs!$I$62)</f>
        <v>537979.68000000005</v>
      </c>
    </row>
    <row r="24" spans="1:23">
      <c r="B24" t="s">
        <v>37</v>
      </c>
      <c r="C24" s="4">
        <f>IF(C$19-MedMal_Change_Year+1&gt;=MedMal_Change_Period,MedMal_Reduction_Rate,MedMal_Reduction_Rate/MedMal_Change_Period*(Calculations!C$19-MedMal_Change_Year+1))</f>
        <v>6.25E-2</v>
      </c>
      <c r="D24" s="4">
        <f>IF(D$19-MedMal_Change_Year+1&gt;=MedMal_Change_Period,MedMal_Reduction_Rate,MedMal_Reduction_Rate/MedMal_Change_Period*(Calculations!D$19-MedMal_Change_Year+1))</f>
        <v>0.125</v>
      </c>
      <c r="E24" s="4">
        <f>IF(E$19-MedMal_Change_Year+1&gt;=MedMal_Change_Period,MedMal_Reduction_Rate,MedMal_Reduction_Rate/MedMal_Change_Period*(Calculations!E$19-MedMal_Change_Year+1))</f>
        <v>0.1875</v>
      </c>
      <c r="F24" s="4">
        <f>IF(F$19-MedMal_Change_Year+1&gt;=MedMal_Change_Period,MedMal_Reduction_Rate,MedMal_Reduction_Rate/MedMal_Change_Period*(Calculations!F$19-MedMal_Change_Year+1))</f>
        <v>0.25</v>
      </c>
      <c r="G24" s="4">
        <f>IF(G$19-MedMal_Change_Year+1&gt;=MedMal_Change_Period,MedMal_Reduction_Rate,MedMal_Reduction_Rate/MedMal_Change_Period*(Calculations!G$19-MedMal_Change_Year+1))</f>
        <v>0.25</v>
      </c>
      <c r="I24" s="2"/>
      <c r="J24" t="s">
        <v>37</v>
      </c>
      <c r="K24" s="4">
        <f>IF(K$19-Inputs!$E$64+1&gt;=Change_Period,Inputs!$E$66,Inputs!$E$66/Change_Period*(K19-Inputs!$E$64+1))</f>
        <v>0.05</v>
      </c>
      <c r="L24" s="4">
        <f>IF(L$19-Inputs!$E$64+1&gt;=Change_Period,Inputs!$E$66,Inputs!$E$66/Change_Period*(L19-Inputs!$E$64+1))</f>
        <v>0.1</v>
      </c>
      <c r="M24" s="4">
        <f>IF(M$19-Inputs!$E$64+1&gt;=Change_Period,Inputs!$E$66,Inputs!$E$66/Change_Period*(M19-Inputs!$E$64+1))</f>
        <v>0.15000000000000002</v>
      </c>
      <c r="N24" s="4">
        <f>IF(N$19-Inputs!$E$64+1&gt;=Change_Period,Inputs!$E$66,Inputs!$E$66/Change_Period*(N19-Inputs!$E$64+1))</f>
        <v>0.2</v>
      </c>
      <c r="O24" s="4">
        <f>IF(O$19-Inputs!$E$64+1&gt;=Change_Period,Inputs!$E$66,Inputs!$E$66/Change_Period*(O19-Inputs!$E$64+1))</f>
        <v>0.2</v>
      </c>
      <c r="R24" t="s">
        <v>37</v>
      </c>
      <c r="S24" s="4">
        <f>IF(S$19-Inputs!$I$64+1&gt;=Change_Period,Inputs!$I$66,Inputs!$I$66/Change_Period*(S19-Inputs!$I$64+1))</f>
        <v>7.4999999999999997E-2</v>
      </c>
      <c r="T24" s="4">
        <f>IF(T$19-Inputs!$I$64+1&gt;=Change_Period,Inputs!$I$66,Inputs!$I$66/Change_Period*(T19-Inputs!$I$64+1))</f>
        <v>0.15</v>
      </c>
      <c r="U24" s="4">
        <f>IF(U$19-Inputs!$I$64+1&gt;=Change_Period,Inputs!$I$66,Inputs!$I$66/Change_Period*(U19-Inputs!$I$64+1))</f>
        <v>0.22499999999999998</v>
      </c>
      <c r="V24" s="4">
        <f>IF(V$19-Inputs!$I$64+1&gt;=Change_Period,Inputs!$I$66,Inputs!$I$66/Change_Period*(V19-Inputs!$I$64+1))</f>
        <v>0.3</v>
      </c>
      <c r="W24" s="4">
        <f>IF(W$19-Inputs!$I$64+1&gt;=Change_Period,Inputs!$I$66,Inputs!$I$66/Change_Period*(W19-Inputs!$I$64+1))</f>
        <v>0.3</v>
      </c>
    </row>
    <row r="25" spans="1:23">
      <c r="B25" t="s">
        <v>38</v>
      </c>
      <c r="C25" s="31">
        <f>C23*(1-C24)</f>
        <v>412403.90625</v>
      </c>
      <c r="D25" s="31">
        <f>D23*(1-D24)</f>
        <v>404155.82812500006</v>
      </c>
      <c r="E25" s="31">
        <f>E23*(1-E24)</f>
        <v>394051.93242187501</v>
      </c>
      <c r="F25" s="31">
        <f>F23*(1-F24)</f>
        <v>381927.25757812505</v>
      </c>
      <c r="G25" s="31">
        <f>G23*(1-G24)</f>
        <v>401023.62045703124</v>
      </c>
      <c r="J25" t="s">
        <v>38</v>
      </c>
      <c r="K25" s="31">
        <f>K23*(1-K24)</f>
        <v>327984.38400000002</v>
      </c>
      <c r="L25" s="31">
        <f>L23*(1-L24)</f>
        <v>323150.92992000002</v>
      </c>
      <c r="M25" s="31">
        <f>M23*(1-M24)</f>
        <v>317406.02449920005</v>
      </c>
      <c r="N25" s="31">
        <f>N23*(1-N24)</f>
        <v>310684.4851568641</v>
      </c>
      <c r="O25" s="31">
        <f>O23*(1-O24)</f>
        <v>323111.86456313869</v>
      </c>
      <c r="R25" t="s">
        <v>38</v>
      </c>
      <c r="S25" s="31">
        <f>S23*(1-S24)</f>
        <v>497631.20400000009</v>
      </c>
      <c r="T25" s="31">
        <f>T23*(1-T24)</f>
        <v>457282.728</v>
      </c>
      <c r="U25" s="31">
        <f>U23*(1-U24)</f>
        <v>416934.25200000004</v>
      </c>
      <c r="V25" s="31">
        <f>V23*(1-V24)</f>
        <v>376585.77600000001</v>
      </c>
      <c r="W25" s="31">
        <f>W23*(1-W24)</f>
        <v>376585.77600000001</v>
      </c>
    </row>
    <row r="26" spans="1:23">
      <c r="B26" s="21" t="s">
        <v>41</v>
      </c>
      <c r="C26" s="32">
        <f>C23-C25</f>
        <v>27493.59375</v>
      </c>
      <c r="D26" s="32">
        <f>D23-D25</f>
        <v>57736.546875</v>
      </c>
      <c r="E26" s="32">
        <f>E23-E25</f>
        <v>90935.061328125012</v>
      </c>
      <c r="F26" s="32">
        <f>F23-F25</f>
        <v>127309.08585937502</v>
      </c>
      <c r="G26" s="32">
        <f>G23-G25</f>
        <v>133674.54015234375</v>
      </c>
      <c r="J26" s="21" t="s">
        <v>41</v>
      </c>
      <c r="K26" s="32">
        <f>K23-K25</f>
        <v>17262.33600000001</v>
      </c>
      <c r="L26" s="32">
        <f>L23-L25</f>
        <v>35905.658880000003</v>
      </c>
      <c r="M26" s="32">
        <f>M23-M25</f>
        <v>56012.827852800023</v>
      </c>
      <c r="N26" s="32">
        <f>N23-N25</f>
        <v>77671.121289215982</v>
      </c>
      <c r="O26" s="32">
        <f>O23-O25</f>
        <v>80777.966140784614</v>
      </c>
      <c r="R26" s="21" t="s">
        <v>41</v>
      </c>
      <c r="S26" s="32">
        <f>S23-S25</f>
        <v>40348.475999999966</v>
      </c>
      <c r="T26" s="32">
        <f>T23-T25</f>
        <v>80696.952000000048</v>
      </c>
      <c r="U26" s="32">
        <f>U23-U25</f>
        <v>121045.42800000001</v>
      </c>
      <c r="V26" s="32">
        <f>V23-V25</f>
        <v>161393.90400000004</v>
      </c>
      <c r="W26" s="32">
        <f>W23-W25</f>
        <v>161393.90400000004</v>
      </c>
    </row>
    <row r="27" spans="1:23">
      <c r="B27" s="37"/>
      <c r="C27" s="53"/>
      <c r="D27" s="53"/>
      <c r="E27" s="53"/>
      <c r="F27" s="53"/>
      <c r="G27" s="53"/>
      <c r="J27" s="37"/>
      <c r="K27" s="53"/>
      <c r="L27" s="53"/>
      <c r="M27" s="53"/>
      <c r="N27" s="53"/>
      <c r="O27" s="53"/>
      <c r="R27" s="37"/>
      <c r="S27" s="53"/>
      <c r="T27" s="53"/>
      <c r="U27" s="53"/>
      <c r="V27" s="53"/>
      <c r="W27" s="53"/>
    </row>
    <row r="28" spans="1:23">
      <c r="B28" s="1" t="str">
        <f>Inputs!A67</f>
        <v>Workers Compensation</v>
      </c>
      <c r="J28" s="1" t="str">
        <f>Inputs!A67</f>
        <v>Workers Compensation</v>
      </c>
      <c r="R28" s="1" t="str">
        <f>Inputs!A67</f>
        <v>Workers Compensation</v>
      </c>
    </row>
    <row r="29" spans="1:23">
      <c r="B29" t="str">
        <f>Inputs!C69</f>
        <v>WC costs (baseline)</v>
      </c>
      <c r="C29" s="31">
        <f>WC_Cost_BC*(1+WC_Growth_BC)^(Calculations!C$19-WC_Ref_Year)</f>
        <v>1812642.3</v>
      </c>
      <c r="D29" s="31">
        <f>WC_Cost_BC*(1+WC_Growth_BC)^(Calculations!D$19-WC_Ref_Year)</f>
        <v>1903274.4150000003</v>
      </c>
      <c r="E29" s="31">
        <f>WC_Cost_BC*(1+WC_Growth_BC)^(Calculations!E$19-WC_Ref_Year)</f>
        <v>1998438.1357500001</v>
      </c>
      <c r="F29" s="31">
        <f>WC_Cost_BC*(1+WC_Growth_BC)^(Calculations!F$19-WC_Ref_Year)</f>
        <v>2098360.0425375002</v>
      </c>
      <c r="G29" s="31">
        <f>WC_Cost_BC*(1+WC_Growth_BC)^(Calculations!G$19-WC_Ref_Year)</f>
        <v>2203278.044664375</v>
      </c>
      <c r="J29" t="str">
        <f>Inputs!C69</f>
        <v>WC costs (baseline)</v>
      </c>
      <c r="K29" s="31">
        <f>Inputs!$E$69*(1+Inputs!$E$71)^(K19-WC_Ref_Year)</f>
        <v>1422624.1536000001</v>
      </c>
      <c r="L29" s="31">
        <f>Inputs!$E$69*(1+Inputs!$E$71)^(L19-WC_Ref_Year)</f>
        <v>1479529.119744</v>
      </c>
      <c r="M29" s="31">
        <f>Inputs!$E$69*(1+Inputs!$E$71)^(M19-WC_Ref_Year)</f>
        <v>1538710.2845337603</v>
      </c>
      <c r="N29" s="31">
        <f>Inputs!$E$69*(1+Inputs!$E$71)^(N19-WC_Ref_Year)</f>
        <v>1600258.6959151109</v>
      </c>
      <c r="O29" s="31">
        <f>Inputs!$E$69*(1+Inputs!$E$71)^(O19-WC_Ref_Year)</f>
        <v>1664269.0437517152</v>
      </c>
      <c r="R29" t="str">
        <f>Inputs!C69</f>
        <v>WC costs (baseline)</v>
      </c>
      <c r="S29" s="31">
        <f>Inputs!$I$69*(1+Inputs!$I$71)^(S19-WC_Ref_Year)</f>
        <v>2216799.8784000003</v>
      </c>
      <c r="T29" s="31">
        <f>Inputs!$I$69*(1+Inputs!$I$71)^(T19-WC_Ref_Year)</f>
        <v>2349807.8711040006</v>
      </c>
      <c r="U29" s="31">
        <f>Inputs!$I$69*(1+Inputs!$I$71)^(U19-WC_Ref_Year)</f>
        <v>2490796.3433702406</v>
      </c>
      <c r="V29" s="31">
        <f>Inputs!$I$69*(1+Inputs!$I$71)^(V19-WC_Ref_Year)</f>
        <v>2640244.1239724555</v>
      </c>
      <c r="W29" s="31">
        <f>Inputs!$I$69*(1+Inputs!$I$71)^(W19-WC_Ref_Year)</f>
        <v>2798658.7714108028</v>
      </c>
    </row>
    <row r="30" spans="1:23">
      <c r="B30" t="str">
        <f>Inputs!C76</f>
        <v>WC Reduction Rate</v>
      </c>
      <c r="C30" s="4">
        <f>IF(C$19-WC_ChangeYear+1&gt;=WC_ChangePeriod,WC_ReductionRate_BC,WC_ReductionRate_BC/WC_ChangePeriod*(Calculations!C$19-WC_ChangeYear+1))</f>
        <v>0.16666666666666666</v>
      </c>
      <c r="D30" s="4">
        <f>IF(D$19-WC_ChangeYear+1&gt;=WC_ChangePeriod,WC_ReductionRate_BC,WC_ReductionRate_BC/WC_ChangePeriod*(Calculations!D$19-WC_ChangeYear+1))</f>
        <v>0.33333333333333331</v>
      </c>
      <c r="E30" s="4">
        <f>IF(E$19-WC_ChangeYear+1&gt;=WC_ChangePeriod,WC_ReductionRate_BC,WC_ReductionRate_BC/WC_ChangePeriod*(Calculations!E$19-WC_ChangeYear+1))</f>
        <v>0.5</v>
      </c>
      <c r="F30" s="4">
        <f>IF(F$19-WC_ChangeYear+1&gt;=WC_ChangePeriod,WC_ReductionRate_BC,WC_ReductionRate_BC/WC_ChangePeriod*(Calculations!F$19-WC_ChangeYear+1))</f>
        <v>0.5</v>
      </c>
      <c r="G30" s="4">
        <f>IF(G$19-WC_ChangeYear+1&gt;=WC_ChangePeriod,WC_ReductionRate_BC,WC_ReductionRate_BC/WC_ChangePeriod*(Calculations!G$19-WC_ChangeYear+1))</f>
        <v>0.5</v>
      </c>
      <c r="J30" t="str">
        <f>Inputs!C76</f>
        <v>WC Reduction Rate</v>
      </c>
      <c r="K30" s="4">
        <f>IF(K$19-WC_ChangeYear_Worst+1&gt;=WC_ChangePeriod_Worst,WC_Reduction_Worst,WC_Reduction_Worst/WC_ChangePeriod_Worst*(K19-WC_ChangeYear_Worst+1))</f>
        <v>0.13333333333333333</v>
      </c>
      <c r="L30" s="4">
        <f>IF(L$19-WC_ChangeYear_Worst+1&gt;=WC_ChangePeriod_Worst,WC_Reduction_Worst,WC_Reduction_Worst/WC_ChangePeriod_Worst*(L19-WC_ChangeYear_Worst+1))</f>
        <v>0.26666666666666666</v>
      </c>
      <c r="M30" s="4">
        <f>IF(M$19-WC_ChangeYear_Worst+1&gt;=WC_ChangePeriod_Worst,WC_Reduction_Worst,WC_Reduction_Worst/WC_ChangePeriod_Worst*(M19-WC_ChangeYear_Worst+1))</f>
        <v>0.4</v>
      </c>
      <c r="N30" s="4">
        <f>IF(N$19-WC_ChangeYear_Worst+1&gt;=WC_ChangePeriod_Worst,WC_Reduction_Worst,WC_Reduction_Worst/WC_ChangePeriod_Worst*(N19-WC_ChangeYear_Worst+1))</f>
        <v>0.4</v>
      </c>
      <c r="O30" s="4">
        <f>IF(O$19-WC_ChangeYear_Worst+1&gt;=WC_ChangePeriod_Worst,WC_Reduction_Worst,WC_Reduction_Worst/WC_ChangePeriod_Worst*(O19-WC_ChangeYear_Worst+1))</f>
        <v>0.4</v>
      </c>
      <c r="R30" t="str">
        <f>Inputs!C76</f>
        <v>WC Reduction Rate</v>
      </c>
      <c r="S30" s="4">
        <f>IF(S$19-WC_ChangeYear_Best+1&gt;=WC_ChangePeriod_Best,WC_Reduction_Best,WC_Reduction_Best/WC_ChangePeriod_Best*(S19-WC_ChangeYear_Best+1))</f>
        <v>0.19999999999999998</v>
      </c>
      <c r="T30" s="4">
        <f>IF(T$19-WC_ChangeYear_Best+1&gt;=WC_ChangePeriod_Best,WC_Reduction_Best,WC_Reduction_Best/WC_ChangePeriod_Best*(T19-WC_ChangeYear_Best+1))</f>
        <v>0.39999999999999997</v>
      </c>
      <c r="U30" s="4">
        <f>IF(U$19-WC_ChangeYear_Best+1&gt;=WC_ChangePeriod_Best,WC_Reduction_Best,WC_Reduction_Best/WC_ChangePeriod_Best*(U19-WC_ChangeYear_Best+1))</f>
        <v>0.6</v>
      </c>
      <c r="V30" s="4">
        <f>IF(V$19-WC_ChangeYear_Best+1&gt;=WC_ChangePeriod_Best,WC_Reduction_Best,WC_Reduction_Best/WC_ChangePeriod_Best*(V19-WC_ChangeYear_Best+1))</f>
        <v>0.6</v>
      </c>
      <c r="W30" s="4">
        <f>IF(W$19-WC_ChangeYear_Best+1&gt;=WC_ChangePeriod_Best,WC_Reduction_Best,WC_Reduction_Best/WC_ChangePeriod_Best*(W19-WC_ChangeYear_Best+1))</f>
        <v>0.6</v>
      </c>
    </row>
    <row r="31" spans="1:23">
      <c r="B31" t="s">
        <v>152</v>
      </c>
      <c r="C31" s="31">
        <f>C29*(1-C30)</f>
        <v>1510535.25</v>
      </c>
      <c r="D31" s="31">
        <f>D29*(1-D30)</f>
        <v>1268849.6100000003</v>
      </c>
      <c r="E31" s="31">
        <f>E29*(1-E30)</f>
        <v>999219.06787500007</v>
      </c>
      <c r="F31" s="31">
        <f>F29*(1-F30)</f>
        <v>1049180.0212687501</v>
      </c>
      <c r="G31" s="31">
        <f>G29*(1-G30)</f>
        <v>1101639.0223321875</v>
      </c>
      <c r="J31" t="s">
        <v>152</v>
      </c>
      <c r="K31" s="31">
        <f>K29*(1-K30)</f>
        <v>1232940.9331200002</v>
      </c>
      <c r="L31" s="31">
        <f>L29*(1-L30)</f>
        <v>1084988.0211456001</v>
      </c>
      <c r="M31" s="31">
        <f>M29*(1-M30)</f>
        <v>923226.17072025617</v>
      </c>
      <c r="N31" s="31">
        <f>N29*(1-N30)</f>
        <v>960155.21754906652</v>
      </c>
      <c r="O31" s="31">
        <f>O29*(1-O30)</f>
        <v>998561.42625102913</v>
      </c>
      <c r="R31" t="s">
        <v>152</v>
      </c>
      <c r="S31" s="31">
        <f>S29*(1-S30)</f>
        <v>1773439.9027200004</v>
      </c>
      <c r="T31" s="31">
        <f>T29*(1-T30)</f>
        <v>1409884.7226624005</v>
      </c>
      <c r="U31" s="31">
        <f>U29*(1-U30)</f>
        <v>996318.53734809626</v>
      </c>
      <c r="V31" s="31">
        <f>V29*(1-V30)</f>
        <v>1056097.6495889823</v>
      </c>
      <c r="W31" s="31">
        <f>W29*(1-W30)</f>
        <v>1119463.5085643211</v>
      </c>
    </row>
    <row r="32" spans="1:23">
      <c r="B32" s="21" t="s">
        <v>41</v>
      </c>
      <c r="C32" s="32">
        <f>C29-C31</f>
        <v>302107.05000000005</v>
      </c>
      <c r="D32" s="32">
        <f>D29-D31</f>
        <v>634424.80499999993</v>
      </c>
      <c r="E32" s="32">
        <f>E29-E31</f>
        <v>999219.06787500007</v>
      </c>
      <c r="F32" s="32">
        <f>F29-F31</f>
        <v>1049180.0212687501</v>
      </c>
      <c r="G32" s="32">
        <f>G29-G31</f>
        <v>1101639.0223321875</v>
      </c>
      <c r="J32" s="21" t="s">
        <v>41</v>
      </c>
      <c r="K32" s="32">
        <f>K29-K31</f>
        <v>189683.2204799999</v>
      </c>
      <c r="L32" s="32">
        <f>L29-L31</f>
        <v>394541.0985983999</v>
      </c>
      <c r="M32" s="32">
        <f>M29-M31</f>
        <v>615484.11381350411</v>
      </c>
      <c r="N32" s="32">
        <f>N29-N31</f>
        <v>640103.47836604435</v>
      </c>
      <c r="O32" s="32">
        <f>O29-O31</f>
        <v>665707.61750068609</v>
      </c>
      <c r="R32" s="21" t="s">
        <v>41</v>
      </c>
      <c r="S32" s="32">
        <f>S29-S31</f>
        <v>443359.97567999992</v>
      </c>
      <c r="T32" s="32">
        <f>T29-T31</f>
        <v>939923.14844160015</v>
      </c>
      <c r="U32" s="32">
        <f>U29-U31</f>
        <v>1494477.8060221444</v>
      </c>
      <c r="V32" s="32">
        <f>V29-V31</f>
        <v>1584146.4743834732</v>
      </c>
      <c r="W32" s="32">
        <f>W29-W31</f>
        <v>1679195.2628464818</v>
      </c>
    </row>
    <row r="33" spans="2:23">
      <c r="B33" s="37"/>
      <c r="C33" s="53"/>
      <c r="D33" s="53"/>
      <c r="E33" s="53"/>
      <c r="F33" s="53"/>
      <c r="G33" s="53"/>
      <c r="J33" s="37"/>
      <c r="K33" s="53"/>
      <c r="L33" s="53"/>
      <c r="M33" s="53"/>
      <c r="N33" s="53"/>
      <c r="O33" s="53"/>
      <c r="R33" s="37"/>
      <c r="S33" s="53"/>
      <c r="T33" s="53"/>
      <c r="U33" s="53"/>
      <c r="V33" s="53"/>
      <c r="W33" s="53"/>
    </row>
    <row r="34" spans="2:23">
      <c r="B34" s="1" t="str">
        <f>Inputs!A77</f>
        <v>Lost &amp; Restricted Days</v>
      </c>
      <c r="J34" s="1" t="str">
        <f>Inputs!A77</f>
        <v>Lost &amp; Restricted Days</v>
      </c>
      <c r="R34" s="1" t="str">
        <f>Inputs!A77</f>
        <v>Lost &amp; Restricted Days</v>
      </c>
    </row>
    <row r="35" spans="2:23">
      <c r="B35" t="s">
        <v>157</v>
      </c>
      <c r="C35" s="31">
        <f>LR_Costs_Base*(1+LR_Growth_Base)^(Calculations!C$19-LR_RefYear)</f>
        <v>1190700</v>
      </c>
      <c r="D35" s="31">
        <f>LR_Costs_Base*(1+LR_Growth_Base)^(Calculations!D$19-LR_RefYear)</f>
        <v>1250235.0000000002</v>
      </c>
      <c r="E35" s="31">
        <f>LR_Costs_Base*(1+LR_Growth_Base)^(Calculations!E$19-LR_RefYear)</f>
        <v>1312746.75</v>
      </c>
      <c r="F35" s="31">
        <f>LR_Costs_Base*(1+LR_Growth_Base)^(Calculations!F$19-LR_RefYear)</f>
        <v>1378384.0875000001</v>
      </c>
      <c r="G35" s="31">
        <f>LR_Costs_Base*(1+LR_Growth_Base)^(Calculations!G$19-LR_RefYear)</f>
        <v>1447303.2918749999</v>
      </c>
      <c r="J35" t="s">
        <v>157</v>
      </c>
      <c r="K35" s="74">
        <f>LR_Costs_Worst*(1+LR_Growth_Worst)^(K19-LR_Ref_Worst)</f>
        <v>1091475</v>
      </c>
      <c r="L35" s="74">
        <f>LR_Costs_Worst*(1+LR_Growth_Worst)^(L19-LR_Ref_Worst)</f>
        <v>1146048.7500000002</v>
      </c>
      <c r="M35" s="74">
        <f>LR_Costs_Worst*(1+LR_Growth_Worst)^(M19-LR_Ref_Worst)</f>
        <v>1203351.1875</v>
      </c>
      <c r="N35" s="74">
        <f>LR_Costs_Worst*(1+LR_Growth_Worst)^(N19-LR_Ref_Worst)</f>
        <v>1263518.7468750002</v>
      </c>
      <c r="O35" s="74">
        <f>LR_Costs_Worst*(1+LR_Growth_Worst)^(O19-LR_Ref_Worst)</f>
        <v>1326694.6842187499</v>
      </c>
      <c r="R35" t="s">
        <v>157</v>
      </c>
      <c r="S35" s="74">
        <f>LR_Cost_C*(1+LR_Growth_C)^(S19-LR_Ref_C)</f>
        <v>1571724</v>
      </c>
      <c r="T35" s="74">
        <f>LR_Cost_C*(1+LR_Growth_C)^(T19-LR_Ref_C)</f>
        <v>1650310.2000000002</v>
      </c>
      <c r="U35" s="74">
        <f>LR_Cost_C*(1+LR_Growth_C)^(U19-LR_Ref_C)</f>
        <v>1732825.71</v>
      </c>
      <c r="V35" s="74">
        <f>LR_Cost_C*(1+LR_Growth_C)^(V19-LR_Ref_C)</f>
        <v>1819466.9955000002</v>
      </c>
      <c r="W35" s="74">
        <f>LR_Cost_C*(1+LR_Growth_C)^(W19-LR_Ref_C)</f>
        <v>1910440.345275</v>
      </c>
    </row>
    <row r="36" spans="2:23">
      <c r="B36" t="s">
        <v>156</v>
      </c>
      <c r="C36" s="4">
        <f>IF(C$19-LR_ChangeYear+1&gt;=LR_ChangePeriod,LR_Reduction_Base,LR_Reduction_Base/LR_ChangePeriod*(Calculations!C$19-LR_ChangeYear+1))</f>
        <v>0.16666666666666666</v>
      </c>
      <c r="D36" s="4">
        <f>IF(D$19-LR_ChangeYear+1&gt;=LR_ChangePeriod,LR_Reduction_Base,LR_Reduction_Base/LR_ChangePeriod*(Calculations!D$19-LR_ChangeYear+1))</f>
        <v>0.33333333333333331</v>
      </c>
      <c r="E36" s="4">
        <f>IF(E$19-LR_ChangeYear+1&gt;=LR_ChangePeriod,LR_Reduction_Base,LR_Reduction_Base/LR_ChangePeriod*(Calculations!E$19-LR_ChangeYear+1))</f>
        <v>0.5</v>
      </c>
      <c r="F36" s="4">
        <f>IF(F$19-LR_ChangeYear+1&gt;=LR_ChangePeriod,LR_Reduction_Base,LR_Reduction_Base/LR_ChangePeriod*(Calculations!F$19-LR_ChangeYear+1))</f>
        <v>0.5</v>
      </c>
      <c r="G36" s="4">
        <f>IF(G$19-LR_ChangeYear+1&gt;=LR_ChangePeriod,LR_Reduction_Base,LR_Reduction_Base/LR_ChangePeriod*(Calculations!G$19-LR_ChangeYear+1))</f>
        <v>0.5</v>
      </c>
      <c r="J36" t="s">
        <v>156</v>
      </c>
      <c r="K36" s="25">
        <f>IF(K$19-LR_ChangeYear_Worst+1&gt;=LR_ChangePeriod_Worst,LR_Reduction_Worst,LR_Reduction_Worst/LR_ChangePeriod_Worst*(K19-LR_ChangeYear_Worst+1))</f>
        <v>0.13333333333333333</v>
      </c>
      <c r="L36" s="25">
        <f>IF(L$19-LR_ChangeYear_Worst+1&gt;=LR_ChangePeriod_Worst,LR_Reduction_Worst,LR_Reduction_Worst/LR_ChangePeriod_Worst*(L19-LR_ChangeYear_Worst+1))</f>
        <v>0.26666666666666666</v>
      </c>
      <c r="M36" s="25">
        <f>IF(M$19-LR_ChangeYear_Worst+1&gt;=LR_ChangePeriod_Worst,LR_Reduction_Worst,LR_Reduction_Worst/LR_ChangePeriod_Worst*(M19-LR_ChangeYear_Worst+1))</f>
        <v>0.4</v>
      </c>
      <c r="N36" s="25">
        <f>IF(N$19-LR_ChangeYear_Worst+1&gt;=LR_ChangePeriod_Worst,LR_Reduction_Worst,LR_Reduction_Worst/LR_ChangePeriod_Worst*(N19-LR_ChangeYear_Worst+1))</f>
        <v>0.4</v>
      </c>
      <c r="O36" s="25">
        <f>IF(O$19-LR_ChangeYear_Worst+1&gt;=LR_ChangePeriod_Worst,LR_Reduction_Worst,LR_Reduction_Worst/LR_ChangePeriod_Worst*(O19-LR_ChangeYear_Worst+1))</f>
        <v>0.4</v>
      </c>
      <c r="R36" t="s">
        <v>156</v>
      </c>
      <c r="S36" s="25">
        <f>IF(S$19-LR_ChangeYear_C+1&gt;=LR_ChangeP_C,LR_Reduction_C,LR_Reduction_C/LR_ChangeP_C*(S19-LR_ChangeYear_C+1))</f>
        <v>0.19999999999999998</v>
      </c>
      <c r="T36" s="25">
        <f>IF(T$19-LR_ChangeYear_C+1&gt;=LR_ChangeP_C,LR_Reduction_C,LR_Reduction_C/LR_ChangeP_C*(T19-LR_ChangeYear_C+1))</f>
        <v>0.39999999999999997</v>
      </c>
      <c r="U36" s="25">
        <f>IF(U$19-LR_ChangeYear_C+1&gt;=LR_ChangeP_C,LR_Reduction_C,LR_Reduction_C/LR_ChangeP_C*(U19-LR_ChangeYear_C+1))</f>
        <v>0.6</v>
      </c>
      <c r="V36" s="25">
        <f>IF(V$19-LR_ChangeYear_C+1&gt;=LR_ChangeP_C,LR_Reduction_C,LR_Reduction_C/LR_ChangeP_C*(V19-LR_ChangeYear_C+1))</f>
        <v>0.6</v>
      </c>
      <c r="W36" s="25">
        <f>IF(W$19-LR_ChangeYear_C+1&gt;=LR_ChangeP_C,LR_Reduction_C,LR_Reduction_C/LR_ChangeP_C*(W19-LR_ChangeYear_C+1))</f>
        <v>0.6</v>
      </c>
    </row>
    <row r="37" spans="2:23">
      <c r="B37" t="s">
        <v>160</v>
      </c>
      <c r="C37" s="31">
        <f>C35*(1-C36)</f>
        <v>992250</v>
      </c>
      <c r="D37" s="31">
        <f>D35*(1-D36)</f>
        <v>833490.00000000023</v>
      </c>
      <c r="E37" s="31">
        <f>E35*(1-E36)</f>
        <v>656373.375</v>
      </c>
      <c r="F37" s="31">
        <f>F35*(1-F36)</f>
        <v>689192.04375000007</v>
      </c>
      <c r="G37" s="31">
        <f>G35*(1-G36)</f>
        <v>723651.64593749994</v>
      </c>
      <c r="J37" t="s">
        <v>160</v>
      </c>
      <c r="K37" s="31">
        <f>K35*(1-K36)</f>
        <v>945945</v>
      </c>
      <c r="L37" s="31">
        <f>L35*(1-L36)</f>
        <v>840435.75000000023</v>
      </c>
      <c r="M37" s="31">
        <f>M35*(1-M36)</f>
        <v>722010.71250000002</v>
      </c>
      <c r="N37" s="31">
        <f>N35*(1-N36)</f>
        <v>758111.24812500004</v>
      </c>
      <c r="O37" s="31">
        <f>O35*(1-O36)</f>
        <v>796016.81053124985</v>
      </c>
      <c r="R37" t="s">
        <v>160</v>
      </c>
      <c r="S37" s="31">
        <f>S35*(1-S36)</f>
        <v>1257379.2</v>
      </c>
      <c r="T37" s="31">
        <f>T35*(1-T36)</f>
        <v>990186.12000000023</v>
      </c>
      <c r="U37" s="31">
        <f>U35*(1-U36)</f>
        <v>693130.28399999999</v>
      </c>
      <c r="V37" s="31">
        <f>V35*(1-V36)</f>
        <v>727786.79820000008</v>
      </c>
      <c r="W37" s="31">
        <f>W35*(1-W36)</f>
        <v>764176.13811000006</v>
      </c>
    </row>
    <row r="38" spans="2:23">
      <c r="B38" s="21" t="s">
        <v>161</v>
      </c>
      <c r="C38" s="32">
        <f>C35-C37</f>
        <v>198450</v>
      </c>
      <c r="D38" s="32">
        <f>D35-D37</f>
        <v>416745</v>
      </c>
      <c r="E38" s="32">
        <f>E35-E37</f>
        <v>656373.375</v>
      </c>
      <c r="F38" s="32">
        <f>F35-F37</f>
        <v>689192.04375000007</v>
      </c>
      <c r="G38" s="32">
        <f>G35-G37</f>
        <v>723651.64593749994</v>
      </c>
      <c r="J38" s="21" t="s">
        <v>161</v>
      </c>
      <c r="K38" s="32">
        <f>K35-K37</f>
        <v>145530</v>
      </c>
      <c r="L38" s="32">
        <f>L35-L37</f>
        <v>305613</v>
      </c>
      <c r="M38" s="32">
        <f>M35-M37</f>
        <v>481340.47499999998</v>
      </c>
      <c r="N38" s="32">
        <f>N35-N37</f>
        <v>505407.49875000014</v>
      </c>
      <c r="O38" s="32">
        <f>O35-O37</f>
        <v>530677.87368750002</v>
      </c>
      <c r="R38" s="21" t="s">
        <v>161</v>
      </c>
      <c r="S38" s="32">
        <f>S35-S37</f>
        <v>314344.80000000005</v>
      </c>
      <c r="T38" s="32">
        <f>T35-T37</f>
        <v>660124.07999999996</v>
      </c>
      <c r="U38" s="32">
        <f>U35-U37</f>
        <v>1039695.426</v>
      </c>
      <c r="V38" s="32">
        <f>V35-V37</f>
        <v>1091680.1973000001</v>
      </c>
      <c r="W38" s="32">
        <f>W35-W37</f>
        <v>1146264.207165</v>
      </c>
    </row>
    <row r="39" spans="2:23">
      <c r="B39" s="37"/>
      <c r="C39" s="53"/>
      <c r="D39" s="53"/>
      <c r="E39" s="53"/>
      <c r="F39" s="53"/>
      <c r="G39" s="53"/>
      <c r="J39" s="37"/>
      <c r="K39" s="53"/>
      <c r="L39" s="53"/>
      <c r="M39" s="53"/>
      <c r="N39" s="53"/>
      <c r="O39" s="53"/>
      <c r="R39" s="37"/>
      <c r="S39" s="53"/>
      <c r="T39" s="53"/>
      <c r="U39" s="53"/>
      <c r="V39" s="53"/>
      <c r="W39" s="53"/>
    </row>
    <row r="40" spans="2:23">
      <c r="B40" s="1" t="str">
        <f>Inputs!A94</f>
        <v>Employee Turnover</v>
      </c>
      <c r="J40" s="1" t="str">
        <f>Inputs!A94</f>
        <v>Employee Turnover</v>
      </c>
      <c r="R40" s="1" t="str">
        <f>Inputs!A94</f>
        <v>Employee Turnover</v>
      </c>
    </row>
    <row r="41" spans="2:23">
      <c r="B41" s="20" t="str">
        <f>Inputs!C96</f>
        <v>Number of SHC Employees (RNs, Techs, etc)</v>
      </c>
      <c r="C41" s="42">
        <f>Inputs!$G$96*(1+Inputs!$G$101)^(Calculations!C$19-Inputs!$G$98)</f>
        <v>2060</v>
      </c>
      <c r="D41" s="42">
        <f>Inputs!$G$96*(1+Inputs!$G$101)^(Calculations!D$19-Inputs!$G$98)</f>
        <v>2121.7999999999997</v>
      </c>
      <c r="E41" s="42">
        <f>Inputs!$G$96*(1+Inputs!$G$101)^(Calculations!E$19-Inputs!$G$98)</f>
        <v>2185.4540000000002</v>
      </c>
      <c r="F41" s="42">
        <f>Inputs!$G$96*(1+Inputs!$G$101)^(Calculations!F$19-Inputs!$G$98)</f>
        <v>2251.0176199999996</v>
      </c>
      <c r="G41" s="42">
        <f>Inputs!$G$96*(1+Inputs!$G$101)^(Calculations!G$19-Inputs!$G$98)</f>
        <v>2318.5481485999999</v>
      </c>
      <c r="J41" s="20" t="str">
        <f>Inputs!C96</f>
        <v>Number of SHC Employees (RNs, Techs, etc)</v>
      </c>
      <c r="K41" s="42">
        <f>Staff_A*(1+StaffGrowth_A)^(K19-StaffRef_A)</f>
        <v>2100</v>
      </c>
      <c r="L41" s="42">
        <f>Staff_A*(1+StaffGrowth_A)^(L19-StaffRef_A)</f>
        <v>2205</v>
      </c>
      <c r="M41" s="42">
        <f>Staff_A*(1+StaffGrowth_A)^(M19-StaffRef_A)</f>
        <v>2315.2500000000005</v>
      </c>
      <c r="N41" s="42">
        <f>Staff_A*(1+StaffGrowth_A)^(N19-StaffRef_A)</f>
        <v>2431.0124999999998</v>
      </c>
      <c r="O41" s="42">
        <f>Staff_A*(1+StaffGrowth_A)^(O19-StaffRef_A)</f>
        <v>2552.5631250000001</v>
      </c>
      <c r="R41" s="20" t="str">
        <f>Inputs!C96</f>
        <v>Number of SHC Employees (RNs, Techs, etc)</v>
      </c>
      <c r="S41" s="42">
        <f>Staff_C*(1+StaffGrowth_C)^(S19-StaffRef_C)</f>
        <v>2100</v>
      </c>
      <c r="T41" s="42">
        <f>Staff_C*(1+StaffGrowth_C)^(T19-StaffRef_C)</f>
        <v>2205</v>
      </c>
      <c r="U41" s="42">
        <f>Staff_C*(1+StaffGrowth_C)^(U19-StaffRef_C)</f>
        <v>2315.2500000000005</v>
      </c>
      <c r="V41" s="42">
        <f>Staff_C*(1+StaffGrowth_C)^(V19-StaffRef_C)</f>
        <v>2431.0124999999998</v>
      </c>
      <c r="W41" s="42">
        <f>Staff_C*(1+StaffGrowth_C)^(W19-StaffRef_C)</f>
        <v>2552.5631250000001</v>
      </c>
    </row>
    <row r="42" spans="2:23">
      <c r="B42" s="20" t="s">
        <v>164</v>
      </c>
      <c r="C42" s="42">
        <f>C41*Inputs!$G$104*Inputs!$G$105</f>
        <v>12.36</v>
      </c>
      <c r="D42" s="42">
        <f>D41*Inputs!$G$104*Inputs!$G$105</f>
        <v>12.730799999999999</v>
      </c>
      <c r="E42" s="42">
        <f>E41*Inputs!$G$104*Inputs!$G$105</f>
        <v>13.112724</v>
      </c>
      <c r="F42" s="42">
        <f>F41*Inputs!$G$104*Inputs!$G$105</f>
        <v>13.506105719999997</v>
      </c>
      <c r="G42" s="42">
        <f>G41*Inputs!$G$104*Inputs!$G$105</f>
        <v>13.911288891599998</v>
      </c>
      <c r="J42" s="20" t="s">
        <v>164</v>
      </c>
      <c r="K42" s="42">
        <f>K41*TO_Rate_A*TO_Rate_Injury_A</f>
        <v>10.080000000000002</v>
      </c>
      <c r="L42" s="42">
        <f>L41*TO_Rate_A*TO_Rate_Injury_A</f>
        <v>10.584000000000001</v>
      </c>
      <c r="M42" s="42">
        <f>M41*TO_Rate_A*TO_Rate_Injury_A</f>
        <v>11.113200000000004</v>
      </c>
      <c r="N42" s="42">
        <f>N41*TO_Rate_A*TO_Rate_Injury_A</f>
        <v>11.668860000000002</v>
      </c>
      <c r="O42" s="42">
        <f>O41*TO_Rate_A*TO_Rate_Injury_A</f>
        <v>12.252303000000001</v>
      </c>
      <c r="R42" s="20" t="s">
        <v>164</v>
      </c>
      <c r="S42" s="42">
        <f>S41*TO_Rate_C*TO_Rate_Injury_C</f>
        <v>15.12</v>
      </c>
      <c r="T42" s="42">
        <f>T41*TO_Rate_C*TO_Rate_Injury_C</f>
        <v>15.875999999999998</v>
      </c>
      <c r="U42" s="42">
        <f>U41*TO_Rate_C*TO_Rate_Injury_C</f>
        <v>16.669800000000002</v>
      </c>
      <c r="V42" s="42">
        <f>V41*TO_Rate_C*TO_Rate_Injury_C</f>
        <v>17.50329</v>
      </c>
      <c r="W42" s="42">
        <f>W41*TO_Rate_C*TO_Rate_Injury_C</f>
        <v>18.3784545</v>
      </c>
    </row>
    <row r="43" spans="2:23">
      <c r="B43" s="20" t="s">
        <v>165</v>
      </c>
      <c r="C43" s="41">
        <f>Inputs!$G$100*(1+Inputs!$G$101)^(Calculations!C$19-Inputs!$G$102)</f>
        <v>154500</v>
      </c>
      <c r="D43" s="41">
        <f>Inputs!$G$100*(1+Inputs!$G$101)^(Calculations!D$19-Inputs!$G$102)</f>
        <v>159135</v>
      </c>
      <c r="E43" s="41">
        <f>Inputs!$G$100*(1+Inputs!$G$101)^(Calculations!E$19-Inputs!$G$102)</f>
        <v>163909.04999999999</v>
      </c>
      <c r="F43" s="41">
        <f>Inputs!$G$100*(1+Inputs!$G$101)^(Calculations!F$19-Inputs!$G$102)</f>
        <v>168826.32149999999</v>
      </c>
      <c r="G43" s="41">
        <f>Inputs!$G$100*(1+Inputs!$G$101)^(Calculations!G$19-Inputs!$G$102)</f>
        <v>173891.11114499997</v>
      </c>
      <c r="J43" s="20" t="s">
        <v>165</v>
      </c>
      <c r="K43" s="41">
        <f>StaffCost_A*(1+StaffGrowth_A)^(K19-StaffCostRef_A)</f>
        <v>141750</v>
      </c>
      <c r="L43" s="41">
        <f>StaffCost_A*(1+StaffGrowth_A)^(L19-StaffCostRef_A)</f>
        <v>148837.5</v>
      </c>
      <c r="M43" s="41">
        <f>StaffCost_A*(1+StaffGrowth_A)^(M19-StaffCostRef_A)</f>
        <v>156279.37500000003</v>
      </c>
      <c r="N43" s="41">
        <f>StaffCost_A*(1+StaffGrowth_A)^(N19-StaffCostRef_A)</f>
        <v>164093.34375</v>
      </c>
      <c r="O43" s="41">
        <f>StaffCost_A*(1+StaffGrowth_A)^(O19-StaffCostRef_A)</f>
        <v>172298.01093750002</v>
      </c>
      <c r="R43" s="20" t="s">
        <v>165</v>
      </c>
      <c r="S43" s="41">
        <f>StaffCost_C*(1+StaffGrowth_C)^(S19-StaffCostRef_C)</f>
        <v>173250</v>
      </c>
      <c r="T43" s="41">
        <f>StaffCost_C*(1+StaffGrowth_C)^(T19-StaffCostRef_C)</f>
        <v>181912.5</v>
      </c>
      <c r="U43" s="41">
        <f>StaffCost_C*(1+StaffGrowth_C)^(U19-StaffCostRef_C)</f>
        <v>191008.12500000003</v>
      </c>
      <c r="V43" s="41">
        <f>StaffCost_C*(1+StaffGrowth_C)^(V19-StaffCostRef_C)</f>
        <v>200558.53125</v>
      </c>
      <c r="W43" s="41">
        <f>StaffCost_C*(1+StaffGrowth_C)^(W19-StaffCostRef_C)</f>
        <v>210586.45781250001</v>
      </c>
    </row>
    <row r="44" spans="2:23">
      <c r="B44" s="43" t="s">
        <v>166</v>
      </c>
      <c r="C44" s="73">
        <f>C42*C43</f>
        <v>1909620</v>
      </c>
      <c r="D44" s="73">
        <f>D42*D43</f>
        <v>2025915.8579999998</v>
      </c>
      <c r="E44" s="73">
        <f>E42*E43</f>
        <v>2149294.1337521998</v>
      </c>
      <c r="F44" s="73">
        <f>F42*F43</f>
        <v>2280186.1464977083</v>
      </c>
      <c r="G44" s="73">
        <f>G42*G43</f>
        <v>2419049.4828194189</v>
      </c>
      <c r="J44" s="43" t="s">
        <v>166</v>
      </c>
      <c r="K44" s="73">
        <f>K42*K43</f>
        <v>1428840.0000000002</v>
      </c>
      <c r="L44" s="73">
        <f>L42*L43</f>
        <v>1575296.1</v>
      </c>
      <c r="M44" s="73">
        <f>M42*M43</f>
        <v>1736763.9502500009</v>
      </c>
      <c r="N44" s="73">
        <f>N42*N43</f>
        <v>1914782.2551506255</v>
      </c>
      <c r="O44" s="73">
        <f>O42*O43</f>
        <v>2111047.4363035643</v>
      </c>
      <c r="R44" s="43" t="s">
        <v>166</v>
      </c>
      <c r="S44" s="73">
        <f>S42*S43</f>
        <v>2619540</v>
      </c>
      <c r="T44" s="73">
        <f>T42*T43</f>
        <v>2888042.8499999996</v>
      </c>
      <c r="U44" s="73">
        <f>U42*U43</f>
        <v>3184067.2421250008</v>
      </c>
      <c r="V44" s="73">
        <f>V42*V43</f>
        <v>3510434.1344428123</v>
      </c>
      <c r="W44" s="73">
        <f>W42*W43</f>
        <v>3870253.6332232011</v>
      </c>
    </row>
    <row r="45" spans="2:23">
      <c r="B45" t="str">
        <f>Inputs!C106</f>
        <v>Reduction on PH-related turnover</v>
      </c>
      <c r="C45" s="17">
        <f>IF(C$19-Inputs!$G$107+1&gt;=Inputs!$G$108,Inputs!$G$106,Inputs!$G$106/Inputs!$G$108*(Calculations!C$19-Inputs!$G$107+1))</f>
        <v>0.125</v>
      </c>
      <c r="D45" s="17">
        <f>IF(D$19-Inputs!$G$107+1&gt;=Inputs!$G$108,Inputs!$G$106,Inputs!$G$106/Inputs!$G$108*(Calculations!D$19-Inputs!$G$107+1))</f>
        <v>0.25</v>
      </c>
      <c r="E45" s="17">
        <f>IF(E$19-Inputs!$G$107+1&gt;=Inputs!$G$108,Inputs!$G$106,Inputs!$G$106/Inputs!$G$108*(Calculations!E$19-Inputs!$G$107+1))</f>
        <v>0.375</v>
      </c>
      <c r="F45" s="17">
        <f>IF(F$19-Inputs!$G$107+1&gt;=Inputs!$G$108,Inputs!$G$106,Inputs!$G$106/Inputs!$G$108*(Calculations!F$19-Inputs!$G$107+1))</f>
        <v>0.5</v>
      </c>
      <c r="G45" s="17">
        <f>IF(G$19-Inputs!$G$107+1&gt;=Inputs!$G$108,Inputs!$G$106,Inputs!$G$106/Inputs!$G$108*(Calculations!G$19-Inputs!$G$107+1))</f>
        <v>0.5</v>
      </c>
      <c r="J45" t="str">
        <f>Inputs!C106</f>
        <v>Reduction on PH-related turnover</v>
      </c>
      <c r="K45" s="17">
        <f>IF(K$19-TO_Yr_A+1&gt;=TO_Period_A,TO_Red_A,TO_Red_A/TO_Period_A*(K19-TO_Yr_A+1))</f>
        <v>0.1125</v>
      </c>
      <c r="L45" s="17">
        <f>IF(L$19-TO_Yr_A+1&gt;=TO_Period_A,TO_Red_A,TO_Red_A/TO_Period_A*(L19-TO_Yr_A+1))</f>
        <v>0.22500000000000001</v>
      </c>
      <c r="M45" s="17">
        <f>IF(M$19-TO_Yr_A+1&gt;=TO_Period_A,TO_Red_A,TO_Red_A/TO_Period_A*(M19-TO_Yr_A+1))</f>
        <v>0.33750000000000002</v>
      </c>
      <c r="N45" s="17">
        <f>IF(N$19-TO_Yr_A+1&gt;=TO_Period_A,TO_Red_A,TO_Red_A/TO_Period_A*(N19-TO_Yr_A+1))</f>
        <v>0.45</v>
      </c>
      <c r="O45" s="17">
        <f>IF(O$19-TO_Yr_A+1&gt;=TO_Period_A,TO_Red_A,TO_Red_A/TO_Period_A*(O19-TO_Yr_A+1))</f>
        <v>0.45</v>
      </c>
      <c r="R45" t="str">
        <f>Inputs!C106</f>
        <v>Reduction on PH-related turnover</v>
      </c>
      <c r="S45" s="17">
        <f>IF(S$19-TO_Yr_C+1&gt;=TO_Period_C,TO_Red_C,TO_Red_C/TO_Period_C*(S19-TO_Yr_C+1))</f>
        <v>0.13750000000000001</v>
      </c>
      <c r="T45" s="17">
        <f>IF(T$19-TO_Yr_C+1&gt;=TO_Period_C,TO_Red_C,TO_Red_C/TO_Period_C*(T19-TO_Yr_C+1))</f>
        <v>0.27500000000000002</v>
      </c>
      <c r="U45" s="17">
        <f>IF(U$19-TO_Yr_C+1&gt;=TO_Period_C,TO_Red_C,TO_Red_C/TO_Period_C*(U19-TO_Yr_C+1))</f>
        <v>0.41250000000000003</v>
      </c>
      <c r="V45" s="17">
        <f>IF(V$19-TO_Yr_C+1&gt;=TO_Period_C,TO_Red_C,TO_Red_C/TO_Period_C*(V19-TO_Yr_C+1))</f>
        <v>0.55000000000000004</v>
      </c>
      <c r="W45" s="17">
        <f>IF(W$19-TO_Yr_C+1&gt;=TO_Period_C,TO_Red_C,TO_Red_C/TO_Period_C*(W19-TO_Yr_C+1))</f>
        <v>0.55000000000000004</v>
      </c>
    </row>
    <row r="46" spans="2:23">
      <c r="B46" t="s">
        <v>25</v>
      </c>
      <c r="C46" s="31">
        <f>C44*(1-C45)</f>
        <v>1670917.5</v>
      </c>
      <c r="D46" s="31">
        <f>D44*(1-D45)</f>
        <v>1519436.8934999998</v>
      </c>
      <c r="E46" s="31">
        <f>E44*(1-E45)</f>
        <v>1343308.833595125</v>
      </c>
      <c r="F46" s="31">
        <f>F44*(1-F45)</f>
        <v>1140093.0732488541</v>
      </c>
      <c r="G46" s="31">
        <f>G44*(1-G45)</f>
        <v>1209524.7414097094</v>
      </c>
      <c r="J46" t="s">
        <v>25</v>
      </c>
      <c r="K46" s="31">
        <f>K44*(1-K45)</f>
        <v>1268095.5000000002</v>
      </c>
      <c r="L46" s="31">
        <f>L44*(1-L45)</f>
        <v>1220854.4775</v>
      </c>
      <c r="M46" s="31">
        <f>M44*(1-M45)</f>
        <v>1150606.1170406255</v>
      </c>
      <c r="N46" s="31">
        <f>N44*(1-N45)</f>
        <v>1053130.2403328442</v>
      </c>
      <c r="O46" s="31">
        <f>O44*(1-O45)</f>
        <v>1161076.0899669605</v>
      </c>
      <c r="R46" t="s">
        <v>25</v>
      </c>
      <c r="S46" s="31">
        <f>S44*(1-S45)</f>
        <v>2259353.25</v>
      </c>
      <c r="T46" s="31">
        <f>T44*(1-T45)</f>
        <v>2093831.0662499997</v>
      </c>
      <c r="U46" s="31">
        <f>U44*(1-U45)</f>
        <v>1870639.5047484378</v>
      </c>
      <c r="V46" s="31">
        <f>V44*(1-V45)</f>
        <v>1579695.3604992654</v>
      </c>
      <c r="W46" s="31">
        <f>W44*(1-W45)</f>
        <v>1741614.1349504404</v>
      </c>
    </row>
    <row r="47" spans="2:23">
      <c r="B47" s="21" t="s">
        <v>2</v>
      </c>
      <c r="C47" s="32">
        <f>C44-C46</f>
        <v>238702.5</v>
      </c>
      <c r="D47" s="32">
        <f>D44-D46</f>
        <v>506478.9645</v>
      </c>
      <c r="E47" s="32">
        <f>E44-E46</f>
        <v>805985.30015707482</v>
      </c>
      <c r="F47" s="32">
        <f>F44-F46</f>
        <v>1140093.0732488541</v>
      </c>
      <c r="G47" s="32">
        <f>G44-G46</f>
        <v>1209524.7414097094</v>
      </c>
      <c r="J47" s="21" t="s">
        <v>2</v>
      </c>
      <c r="K47" s="32">
        <f>K44-K46</f>
        <v>160744.5</v>
      </c>
      <c r="L47" s="32">
        <f>L44-L46</f>
        <v>354441.62250000006</v>
      </c>
      <c r="M47" s="32">
        <f>M44-M46</f>
        <v>586157.83320937539</v>
      </c>
      <c r="N47" s="32">
        <f>N44-N46</f>
        <v>861652.01481778128</v>
      </c>
      <c r="O47" s="32">
        <f>O44-O46</f>
        <v>949971.34633660386</v>
      </c>
      <c r="R47" s="21" t="s">
        <v>2</v>
      </c>
      <c r="S47" s="32">
        <f>S44-S46</f>
        <v>360186.75</v>
      </c>
      <c r="T47" s="32">
        <f>T44-T46</f>
        <v>794211.78374999994</v>
      </c>
      <c r="U47" s="32">
        <f>U44-U46</f>
        <v>1313427.737376563</v>
      </c>
      <c r="V47" s="32">
        <f>V44-V46</f>
        <v>1930738.7739435469</v>
      </c>
      <c r="W47" s="32">
        <f>W44-W46</f>
        <v>2128639.4982727608</v>
      </c>
    </row>
    <row r="48" spans="2:23">
      <c r="B48" s="37"/>
      <c r="C48" s="53"/>
      <c r="D48" s="53"/>
      <c r="E48" s="53"/>
      <c r="F48" s="53"/>
      <c r="G48" s="53"/>
      <c r="J48" s="37"/>
      <c r="K48" s="53"/>
      <c r="L48" s="53"/>
      <c r="M48" s="53"/>
      <c r="N48" s="53"/>
      <c r="O48" s="53"/>
      <c r="R48" s="37"/>
      <c r="S48" s="53"/>
      <c r="T48" s="53"/>
      <c r="U48" s="53"/>
      <c r="V48" s="53"/>
      <c r="W48" s="53"/>
    </row>
    <row r="49" spans="2:23">
      <c r="B49" s="1" t="str">
        <f>Inputs!A109</f>
        <v>Patient Falls</v>
      </c>
      <c r="J49" s="1" t="str">
        <f>Inputs!A109</f>
        <v>Patient Falls</v>
      </c>
      <c r="R49" s="1" t="str">
        <f>Inputs!A109</f>
        <v>Patient Falls</v>
      </c>
    </row>
    <row r="50" spans="2:23">
      <c r="B50" s="24" t="str">
        <f>Inputs!C111</f>
        <v>Average cost of fall</v>
      </c>
      <c r="C50" s="31">
        <f>Inputs!$G$111*(1+Inputs!$G$121)^(Calculations!C$19-Inputs!$G$112)</f>
        <v>7101.6646000000001</v>
      </c>
      <c r="D50" s="31">
        <f>Inputs!$G$111*(1+Inputs!$G$121)^(Calculations!D$19-Inputs!$G$112)</f>
        <v>7314.7145380000002</v>
      </c>
      <c r="E50" s="31">
        <f>Inputs!$G$111*(1+Inputs!$G$121)^(Calculations!E$19-Inputs!$G$112)</f>
        <v>7534.1559741399997</v>
      </c>
      <c r="F50" s="31">
        <f>Inputs!$G$111*(1+Inputs!$G$121)^(Calculations!F$19-Inputs!$G$112)</f>
        <v>7760.1806533641993</v>
      </c>
      <c r="G50" s="31">
        <f>Inputs!$G$111*(1+Inputs!$G$121)^(Calculations!G$19-Inputs!$G$112)</f>
        <v>7992.9860729651255</v>
      </c>
      <c r="J50" s="24" t="str">
        <f>Inputs!C111</f>
        <v>Average cost of fall</v>
      </c>
      <c r="K50" s="31">
        <f>FallCost_A*(1+FallGrowth_A)^(K19-FallRef_A)</f>
        <v>5681.3316800000002</v>
      </c>
      <c r="L50" s="31">
        <f>FallCost_A*(1+FallGrowth_A)^(L19-FallRef_A)</f>
        <v>5851.7716304000005</v>
      </c>
      <c r="M50" s="31">
        <f>FallCost_A*(1+FallGrowth_A)^(M19-FallRef_A)</f>
        <v>6027.3247793119999</v>
      </c>
      <c r="N50" s="31">
        <f>FallCost_A*(1+FallGrowth_A)^(N19-FallRef_A)</f>
        <v>6208.1445226913602</v>
      </c>
      <c r="O50" s="31">
        <f>FallCost_A*(1+FallGrowth_A)^(O19-FallRef_A)</f>
        <v>6394.3888583721009</v>
      </c>
      <c r="R50" s="24" t="str">
        <f>Inputs!C111</f>
        <v>Average cost of fall</v>
      </c>
      <c r="S50" s="31">
        <f>FallCost_C*(1+FallGrowth_C)^(S19-FallRef_C)</f>
        <v>8521.997519999999</v>
      </c>
      <c r="T50" s="31">
        <f>FallCost_A*(1+FallGrowth_A)^(T19-FallRef_A)</f>
        <v>5851.7716304000005</v>
      </c>
      <c r="U50" s="31">
        <f>FallCost_A*(1+FallGrowth_A)^(U19-FallRef_A)</f>
        <v>6027.3247793119999</v>
      </c>
      <c r="V50" s="31">
        <f>FallCost_A*(1+FallGrowth_A)^(V19-FallRef_A)</f>
        <v>6208.1445226913602</v>
      </c>
      <c r="W50" s="31">
        <f>FallCost_A*(1+FallGrowth_A)^(W19-FallRef_A)</f>
        <v>6394.3888583721009</v>
      </c>
    </row>
    <row r="51" spans="2:23">
      <c r="B51" s="24" t="str">
        <f>Inputs!C113</f>
        <v>Annual Patient Days</v>
      </c>
      <c r="C51" s="95">
        <f>Inputs!$G$113*(1+Inputs!$G$121)^(Calculations!C$19-Inputs!$G$114)</f>
        <v>159135</v>
      </c>
      <c r="D51" s="95">
        <f>Inputs!$G$113*(1+Inputs!$G$121)^(Calculations!D$19-Inputs!$G$114)</f>
        <v>163909.04999999999</v>
      </c>
      <c r="E51" s="95">
        <f>Inputs!$G$113*(1+Inputs!$G$121)^(Calculations!E$19-Inputs!$G$114)</f>
        <v>168826.32149999999</v>
      </c>
      <c r="F51" s="95">
        <f>Inputs!$G$113*(1+Inputs!$G$121)^(Calculations!F$19-Inputs!$G$114)</f>
        <v>173891.11114499997</v>
      </c>
      <c r="G51" s="95">
        <f>Inputs!$G$113*(1+Inputs!$G$121)^(Calculations!G$19-Inputs!$G$114)</f>
        <v>179107.84447934999</v>
      </c>
      <c r="J51" s="24" t="str">
        <f>Inputs!C113</f>
        <v>Annual Patient Days</v>
      </c>
      <c r="K51" s="95">
        <f>PtDays_A*(1+FallGrowth_A)^(K19-PtDaysRef_A)</f>
        <v>159135</v>
      </c>
      <c r="L51" s="95">
        <f>PtDays_A*(1+FallGrowth_A)^(L19-PtDaysRef_A)</f>
        <v>163909.04999999999</v>
      </c>
      <c r="M51" s="95">
        <f>PtDays_A*(1+FallGrowth_A)^(M19-PtDaysRef_A)</f>
        <v>168826.32149999999</v>
      </c>
      <c r="N51" s="95">
        <f>PtDays_A*(1+FallGrowth_A)^(N19-PtDaysRef_A)</f>
        <v>173891.11114499997</v>
      </c>
      <c r="O51" s="95">
        <f>PtDays_A*(1+FallGrowth_A)^(O19-PtDaysRef_A)</f>
        <v>179107.84447934999</v>
      </c>
      <c r="R51" s="24" t="str">
        <f>Inputs!C113</f>
        <v>Annual Patient Days</v>
      </c>
      <c r="S51" s="95">
        <f>PtDays_C*(1+FallGrowth_C)^(S19-PtDaysRef_C)</f>
        <v>159135</v>
      </c>
      <c r="T51" s="95">
        <f>PtDays_A*(1+FallGrowth_A)^(T19-PtDaysRef_A)</f>
        <v>163909.04999999999</v>
      </c>
      <c r="U51" s="95">
        <f>PtDays_A*(1+FallGrowth_A)^(U19-PtDaysRef_A)</f>
        <v>168826.32149999999</v>
      </c>
      <c r="V51" s="95">
        <f>PtDays_A*(1+FallGrowth_A)^(V19-PtDaysRef_A)</f>
        <v>173891.11114499997</v>
      </c>
      <c r="W51" s="95">
        <f>PtDays_A*(1+FallGrowth_A)^(W19-PtDaysRef_A)</f>
        <v>179107.84447934999</v>
      </c>
    </row>
    <row r="52" spans="2:23">
      <c r="B52" s="24" t="s">
        <v>172</v>
      </c>
      <c r="C52" s="95">
        <f>C51*Inputs!$G$115*Inputs!$G$116*(1+Inputs!$G$121)^(Calculations!C$19-Inputs!$G$112)</f>
        <v>278.56343047500002</v>
      </c>
      <c r="D52" s="95">
        <f>D51*Inputs!$G$115*Inputs!$G$116*(1+Inputs!$G$121)^(Calculations!D$19-Inputs!$G$112)</f>
        <v>295.52794339092748</v>
      </c>
      <c r="E52" s="95">
        <f>E51*Inputs!$G$115*Inputs!$G$116*(1+Inputs!$G$121)^(Calculations!E$19-Inputs!$G$112)</f>
        <v>313.525595143435</v>
      </c>
      <c r="F52" s="95">
        <f>F51*Inputs!$G$115*Inputs!$G$116*(1+Inputs!$G$121)^(Calculations!F$19-Inputs!$G$112)</f>
        <v>332.61930388767007</v>
      </c>
      <c r="G52" s="95">
        <f>G51*Inputs!$G$115*Inputs!$G$116*(1+Inputs!$G$121)^(Calculations!G$19-Inputs!$G$112)</f>
        <v>352.87581949442932</v>
      </c>
      <c r="J52" s="24" t="s">
        <v>172</v>
      </c>
      <c r="K52" s="95">
        <f>K51*FallRate_A*FallsHarm_A*(1+FallGrowth_A)^(K19-FallRef_A)</f>
        <v>178.28059550399999</v>
      </c>
      <c r="L52" s="95">
        <f>L51*FallRate_A*FallsHarm_A*(1+FallGrowth_A)^(L19-FallRef_A)</f>
        <v>189.13788377019358</v>
      </c>
      <c r="M52" s="95">
        <f>M51*FallRate_A*FallsHarm_A*(1+FallGrowth_A)^(M19-FallRef_A)</f>
        <v>200.65638089179839</v>
      </c>
      <c r="N52" s="95">
        <f>N51*FallRate_A*FallsHarm_A*(1+FallGrowth_A)^(N19-FallRef_A)</f>
        <v>212.87635448810886</v>
      </c>
      <c r="O52" s="95">
        <f>O51*FallRate_A*FallsHarm_A*(1+FallGrowth_A)^(O19-FallRef_A)</f>
        <v>225.84052447643475</v>
      </c>
      <c r="R52" s="24" t="s">
        <v>172</v>
      </c>
      <c r="S52" s="95">
        <f>S51*FallRate_C*FallHarm_C*(1+FallGrowth_C)^(S19-FallRef_C)</f>
        <v>401.13133988400006</v>
      </c>
      <c r="T52" s="95">
        <f>T51*FallRate_C*FallHarm_C*(1+FallGrowth_C)^(T19-FallRef_C)</f>
        <v>425.56023848293563</v>
      </c>
      <c r="U52" s="95">
        <f>U51*FallRate_C*FallHarm_C*(1+FallGrowth_C)^(U19-FallRef_C)</f>
        <v>451.47685700654637</v>
      </c>
      <c r="V52" s="95">
        <f>V51*FallRate_C*FallHarm_C*(1+FallGrowth_C)^(V19-FallRef_C)</f>
        <v>478.9717975982449</v>
      </c>
      <c r="W52" s="95">
        <f>W51*FallRate_C*FallHarm_C*(1+FallGrowth_C)^(W19-FallRef_C)</f>
        <v>508.14118007197817</v>
      </c>
    </row>
    <row r="53" spans="2:23">
      <c r="B53" t="str">
        <f>Inputs!C120</f>
        <v>Patient Falls Costs (Baseline)</v>
      </c>
      <c r="C53" s="31">
        <f>C50*C52</f>
        <v>1978264.0530588687</v>
      </c>
      <c r="D53" s="31">
        <f>D50*D52</f>
        <v>2161702.5439068582</v>
      </c>
      <c r="E53" s="31">
        <f>E50*E52</f>
        <v>2362150.7356957095</v>
      </c>
      <c r="F53" s="31">
        <f>F50*F52</f>
        <v>2581185.8869645647</v>
      </c>
      <c r="G53" s="31">
        <f>G50*G52</f>
        <v>2820531.5107051292</v>
      </c>
      <c r="J53" t="str">
        <f>Inputs!C120</f>
        <v>Patient Falls Costs (Baseline)</v>
      </c>
      <c r="K53" s="31">
        <f>K50*K52</f>
        <v>1012871.1951661408</v>
      </c>
      <c r="L53" s="31">
        <f>L50*L52</f>
        <v>1106791.7024803115</v>
      </c>
      <c r="M53" s="31">
        <f>M50*M52</f>
        <v>1209421.1766762033</v>
      </c>
      <c r="N53" s="31">
        <f>N50*N52</f>
        <v>1321567.1741258574</v>
      </c>
      <c r="O53" s="31">
        <f>O50*O52</f>
        <v>1444112.1334810262</v>
      </c>
      <c r="R53" t="str">
        <f>Inputs!C120</f>
        <v>Patient Falls Costs (Baseline)</v>
      </c>
      <c r="S53" s="31">
        <f>S50*S52</f>
        <v>3418440.2836857252</v>
      </c>
      <c r="T53" s="31">
        <f>T50*T52</f>
        <v>2490281.3305807011</v>
      </c>
      <c r="U53" s="31">
        <f>U50*U52</f>
        <v>2721197.6475214576</v>
      </c>
      <c r="V53" s="31">
        <f>V50*V52</f>
        <v>2973526.1417831788</v>
      </c>
      <c r="W53" s="31">
        <f>W50*W52</f>
        <v>3249252.3003323087</v>
      </c>
    </row>
    <row r="54" spans="2:23">
      <c r="B54" t="str">
        <f>Inputs!C125</f>
        <v xml:space="preserve">Patient Falls Reduction Rate </v>
      </c>
      <c r="C54" s="4">
        <f>IF(C$19-Inputs!$G$123+1&gt;=Inputs!$G$124,Inputs!$G$125,Inputs!$G$125/Inputs!$G$124*(Calculations!C$19-Inputs!G123+1))</f>
        <v>4.9999999999999996E-2</v>
      </c>
      <c r="D54" s="4">
        <f>IF(D$19-Inputs!$G$123+1&gt;=Inputs!$G$124,Inputs!$G$125,Inputs!$G$125/Inputs!$G$124*(Calculations!D$19-Inputs!I123+1))</f>
        <v>9.9999999999999992E-2</v>
      </c>
      <c r="E54" s="4">
        <f>IF(E$19-Inputs!$G$123+1&gt;=Inputs!$G$124,Inputs!$G$125,Inputs!$G$125/Inputs!$G$124*(Calculations!E$19-Inputs!K123+1))</f>
        <v>0.15</v>
      </c>
      <c r="F54" s="4">
        <f>IF(F$19-Inputs!$G$123+1&gt;=Inputs!$G$124,Inputs!$G$125,Inputs!$G$125/Inputs!$G$124*(Calculations!F$19-Inputs!L123+1))</f>
        <v>0.15</v>
      </c>
      <c r="G54" s="4">
        <f>IF(G$19-Inputs!$G$123+1&gt;=Inputs!$G$124,Inputs!$G$125,Inputs!$G$125/Inputs!$G$124*(Calculations!G$19-Inputs!M123+1))</f>
        <v>0.15</v>
      </c>
      <c r="J54" t="str">
        <f>Inputs!C125</f>
        <v xml:space="preserve">Patient Falls Reduction Rate </v>
      </c>
      <c r="K54" s="4">
        <f>IF(K$19-FallYr_A+1&gt;=FallPeriod_A,FallReduction_A,FallReduction_A/FallPeriod_A*(K19-FallYr_A+1))</f>
        <v>0.04</v>
      </c>
      <c r="L54" s="4">
        <f>IF(L$19-FallYr_A+1&gt;=FallPeriod_A,FallReduction_A,FallReduction_A/FallPeriod_A*(L19-FallYr_A+1))</f>
        <v>0.08</v>
      </c>
      <c r="M54" s="4">
        <f>IF(M$19-FallYr_A+1&gt;=FallPeriod_A,FallReduction_A,FallReduction_A/FallPeriod_A*(M19-FallYr_A+1))</f>
        <v>0.12</v>
      </c>
      <c r="N54" s="4">
        <f>IF(N$19-FallYr_A+1&gt;=FallPeriod_A,FallReduction_A,FallReduction_A/FallPeriod_A*(N19-FallYr_A+1))</f>
        <v>0.12</v>
      </c>
      <c r="O54" s="4">
        <f>IF(O$19-FallYr_A+1&gt;=FallPeriod_A,FallReduction_A,FallReduction_A/FallPeriod_A*(O19-FallYr_A+1))</f>
        <v>0.12</v>
      </c>
      <c r="R54" t="str">
        <f>Inputs!C125</f>
        <v xml:space="preserve">Patient Falls Reduction Rate </v>
      </c>
      <c r="S54" s="4">
        <f>IF(S$19-FallYr_C+1&gt;=FallPeriod_C,FallReduction_C,FallReduction_C/FallPeriod_C*(S19-FallYr_C+1))</f>
        <v>0.06</v>
      </c>
      <c r="T54" s="4">
        <f>IF(T$19-FallYr_C+1&gt;=FallPeriod_C,FallReduction_C,FallReduction_C/FallPeriod_C*(T19-FallYr_C+1))</f>
        <v>0.12</v>
      </c>
      <c r="U54" s="4">
        <f>IF(U$19-FallYr_C+1&gt;=FallPeriod_C,FallReduction_C,FallReduction_C/FallPeriod_C*(U19-FallYr_C+1))</f>
        <v>0.18</v>
      </c>
      <c r="V54" s="4">
        <f>IF(V$19-FallYr_C+1&gt;=FallPeriod_C,FallReduction_C,FallReduction_C/FallPeriod_C*(V19-FallYr_C+1))</f>
        <v>0.18</v>
      </c>
      <c r="W54" s="4">
        <f>IF(W$19-FallYr_C+1&gt;=FallPeriod_C,FallReduction_C,FallReduction_C/FallPeriod_C*(W19-FallYr_C+1))</f>
        <v>0.18</v>
      </c>
    </row>
    <row r="55" spans="2:23">
      <c r="B55" t="s">
        <v>168</v>
      </c>
      <c r="C55" s="31">
        <f>C53*(1-C54)</f>
        <v>1879350.8504059252</v>
      </c>
      <c r="D55" s="31">
        <f>D53*(1-D54)</f>
        <v>1945532.2895161724</v>
      </c>
      <c r="E55" s="31">
        <f>E53*(1-E54)</f>
        <v>2007828.125341353</v>
      </c>
      <c r="F55" s="31">
        <f>F53*(1-F54)</f>
        <v>2194008.0039198799</v>
      </c>
      <c r="G55" s="31">
        <f>G53*(1-G54)</f>
        <v>2397451.78409936</v>
      </c>
      <c r="J55" t="s">
        <v>168</v>
      </c>
      <c r="K55" s="31">
        <f>K53*(1-K54)</f>
        <v>972356.34735949512</v>
      </c>
      <c r="L55" s="31">
        <f>L53*(1-L54)</f>
        <v>1018248.3662818866</v>
      </c>
      <c r="M55" s="31">
        <f>M53*(1-M54)</f>
        <v>1064290.6354750588</v>
      </c>
      <c r="N55" s="31">
        <f>N53*(1-N54)</f>
        <v>1162979.1132307546</v>
      </c>
      <c r="O55" s="31">
        <f>O53*(1-O54)</f>
        <v>1270818.6774633031</v>
      </c>
      <c r="R55" t="s">
        <v>168</v>
      </c>
      <c r="S55" s="31">
        <f>S53*(1-S54)</f>
        <v>3213333.8666645815</v>
      </c>
      <c r="T55" s="31">
        <f>T53*(1-T54)</f>
        <v>2191447.5709110168</v>
      </c>
      <c r="U55" s="31">
        <f>U53*(1-U54)</f>
        <v>2231382.0709675956</v>
      </c>
      <c r="V55" s="31">
        <f>V53*(1-V54)</f>
        <v>2438291.4362622066</v>
      </c>
      <c r="W55" s="31">
        <f>W53*(1-W54)</f>
        <v>2664386.8862724933</v>
      </c>
    </row>
    <row r="56" spans="2:23">
      <c r="B56" s="21" t="s">
        <v>170</v>
      </c>
      <c r="C56" s="32">
        <f>C53-C55</f>
        <v>98913.202652943553</v>
      </c>
      <c r="D56" s="32">
        <f>D53-D55</f>
        <v>216170.25439068582</v>
      </c>
      <c r="E56" s="32">
        <f>E53-E55</f>
        <v>354322.61035435647</v>
      </c>
      <c r="F56" s="32">
        <f>F53-F55</f>
        <v>387177.88304468477</v>
      </c>
      <c r="G56" s="32">
        <f>G53-G55</f>
        <v>423079.72660576925</v>
      </c>
      <c r="J56" s="21" t="s">
        <v>170</v>
      </c>
      <c r="K56" s="32">
        <f>K53-K55</f>
        <v>40514.847806645674</v>
      </c>
      <c r="L56" s="32">
        <f>L53-L55</f>
        <v>88543.33619842492</v>
      </c>
      <c r="M56" s="32">
        <f>M53-M55</f>
        <v>145130.54120114446</v>
      </c>
      <c r="N56" s="32">
        <f>N53-N55</f>
        <v>158588.0608951028</v>
      </c>
      <c r="O56" s="32">
        <f>O53-O55</f>
        <v>173293.45601772307</v>
      </c>
      <c r="R56" s="21" t="s">
        <v>170</v>
      </c>
      <c r="S56" s="32">
        <f>S53-S55</f>
        <v>205106.41702114372</v>
      </c>
      <c r="T56" s="32">
        <f>T53-T55</f>
        <v>298833.75966968434</v>
      </c>
      <c r="U56" s="32">
        <f>U53-U55</f>
        <v>489815.57655386208</v>
      </c>
      <c r="V56" s="32">
        <f>V53-V55</f>
        <v>535234.70552097214</v>
      </c>
      <c r="W56" s="32">
        <f>W53-W55</f>
        <v>584865.41405981546</v>
      </c>
    </row>
    <row r="58" spans="2:23">
      <c r="B58" s="1" t="str">
        <f>Inputs!B127</f>
        <v>Stage 1-2 HAPIs</v>
      </c>
      <c r="J58" s="1" t="str">
        <f>Inputs!B127</f>
        <v>Stage 1-2 HAPIs</v>
      </c>
      <c r="R58" s="1" t="str">
        <f>Inputs!B127</f>
        <v>Stage 1-2 HAPIs</v>
      </c>
    </row>
    <row r="59" spans="2:23">
      <c r="B59" t="s">
        <v>171</v>
      </c>
      <c r="C59" s="31">
        <f>Inputs!$G$128*Inputs!$G$131*C51*(1+Inputs!$G$129)^(Calculations!C$19-Inputs!$G$133)</f>
        <v>3895253.4982612492</v>
      </c>
      <c r="D59" s="31">
        <f>Inputs!$G$128*Inputs!$G$131*D51*(1+Inputs!$G$129)^(Calculations!D$19-Inputs!$G$133)</f>
        <v>4132474.4363053585</v>
      </c>
      <c r="E59" s="31">
        <f>Inputs!$G$128*Inputs!$G$131*E51*(1+Inputs!$G$129)^(Calculations!E$19-Inputs!$G$133)</f>
        <v>4384142.1294763554</v>
      </c>
      <c r="F59" s="31">
        <f>Inputs!$G$128*Inputs!$G$131*F51*(1+Inputs!$G$129)^(Calculations!F$19-Inputs!$G$133)</f>
        <v>4651136.3851614641</v>
      </c>
      <c r="G59" s="31">
        <f>Inputs!$G$128*Inputs!$G$131*G51*(1+Inputs!$G$129)^(Calculations!G$19-Inputs!$G$133)</f>
        <v>4934390.5910177985</v>
      </c>
      <c r="J59" t="s">
        <v>171</v>
      </c>
      <c r="K59" s="31">
        <f>PI12_Cost_A*PI12_Rate_A*K51*(1+PI12_Grow_A)^(K19-PI12_Ref_A)</f>
        <v>2492962.2388871997</v>
      </c>
      <c r="L59" s="31">
        <f>PI12_Cost_A*PI12_Rate_A*L51*(1+PI12_Grow_A)^(L19-PI12_Ref_A)</f>
        <v>2644783.6392354295</v>
      </c>
      <c r="M59" s="31">
        <f>PI12_Cost_A*PI12_Rate_A*M51*(1+PI12_Grow_A)^(M19-PI12_Ref_A)</f>
        <v>2805850.9628648674</v>
      </c>
      <c r="N59" s="31">
        <f>PI12_Cost_A*PI12_Rate_A*N51*(1+PI12_Grow_A)^(N19-PI12_Ref_A)</f>
        <v>2976727.2865033373</v>
      </c>
      <c r="O59" s="31">
        <f>PI12_Cost_A*PI12_Rate_A*O51*(1+PI12_Grow_A)^(O19-PI12_Ref_A)</f>
        <v>3158009.9782513906</v>
      </c>
      <c r="R59" t="s">
        <v>171</v>
      </c>
      <c r="S59" s="31">
        <f>PI12_Cost_C*PI12_Rate_C*S51*(1+PI12_Grow_C)^(S19-PI12_Ref_C)</f>
        <v>5609165.0374961989</v>
      </c>
      <c r="T59" s="31">
        <f>PI12_Cost_C*PI12_Rate_C*T51*(1+PI12_Grow_C)^(T19-PI12_Ref_C)</f>
        <v>5950763.1882797172</v>
      </c>
      <c r="U59" s="31">
        <f>PI12_Cost_C*PI12_Rate_C*U51*(1+PI12_Grow_C)^(U19-PI12_Ref_C)</f>
        <v>6313164.6664459519</v>
      </c>
      <c r="V59" s="31">
        <f>PI12_Cost_C*PI12_Rate_C*V51*(1+PI12_Grow_C)^(V19-PI12_Ref_C)</f>
        <v>6697636.394632509</v>
      </c>
      <c r="W59" s="31">
        <f>PI12_Cost_C*PI12_Rate_C*W51*(1+PI12_Grow_C)^(W19-PI12_Ref_C)</f>
        <v>7105522.4510656297</v>
      </c>
    </row>
    <row r="60" spans="2:23">
      <c r="B60" t="s">
        <v>174</v>
      </c>
      <c r="C60" s="4">
        <f>IF(C$19-Inputs!$G$141+1&gt;=Inputs!$G$142,Inputs!$G$143,Inputs!$G$143/Inputs!$G$142*(Calculations!C$19-Inputs!$G$141+1))</f>
        <v>0.05</v>
      </c>
      <c r="D60" s="4">
        <f>IF(D$19-Inputs!$G$141+1&gt;=Inputs!$G$142,Inputs!$G$143,Inputs!$G$143/Inputs!$G$142*(Calculations!D$19-Inputs!$G$141+1))</f>
        <v>0.1</v>
      </c>
      <c r="E60" s="4">
        <f>IF(E$19-Inputs!$G$141+1&gt;=Inputs!$G$142,Inputs!$G$143,Inputs!$G$143/Inputs!$G$142*(Calculations!E$19-Inputs!$G$141+1))</f>
        <v>0.15000000000000002</v>
      </c>
      <c r="F60" s="4">
        <f>IF(F$19-Inputs!$G$141+1&gt;=Inputs!$G$142,Inputs!$G$143,Inputs!$G$143/Inputs!$G$142*(Calculations!F$19-Inputs!$G$141+1))</f>
        <v>0.2</v>
      </c>
      <c r="G60" s="4">
        <f>IF(G$19-Inputs!$G$141+1&gt;=Inputs!$G$142,Inputs!$G$143,Inputs!$G$143/Inputs!$G$142*(Calculations!G$19-Inputs!$G$141+1))</f>
        <v>0.2</v>
      </c>
      <c r="J60" t="s">
        <v>174</v>
      </c>
      <c r="K60" s="4">
        <f>IF(K$19-PI_ChangeYr_A+1&gt;=PI_ChangePeriod_A,PI12_Reduce_A,PI12_Reduce_A/PI_ChangePeriod_A*(K19-PI_ChangeYr_A+1))</f>
        <v>4.0000000000000008E-2</v>
      </c>
      <c r="L60" s="4">
        <f>IF(L$19-PI_ChangeYr_A+1&gt;=PI_ChangePeriod_A,PI12_Reduce_A,PI12_Reduce_A/PI_ChangePeriod_A*(L19-PI_ChangeYr_A+1))</f>
        <v>8.0000000000000016E-2</v>
      </c>
      <c r="M60" s="4">
        <f>IF(M$19-PI_ChangeYr_A+1&gt;=PI_ChangePeriod_A,PI12_Reduce_A,PI12_Reduce_A/PI_ChangePeriod_A*(M19-PI_ChangeYr_A+1))</f>
        <v>0.12000000000000002</v>
      </c>
      <c r="N60" s="4">
        <f>IF(N$19-PI_ChangeYr_A+1&gt;=PI_ChangePeriod_A,PI12_Reduce_A,PI12_Reduce_A/PI_ChangePeriod_A*(N19-PI_ChangeYr_A+1))</f>
        <v>0.16000000000000003</v>
      </c>
      <c r="O60" s="4">
        <f>IF(O$19-PI_ChangeYr_A+1&gt;=PI_ChangePeriod_A,PI12_Reduce_A,PI12_Reduce_A/PI_ChangePeriod_A*(O19-PI_ChangeYr_A+1))</f>
        <v>0.16000000000000003</v>
      </c>
      <c r="R60" t="s">
        <v>174</v>
      </c>
      <c r="S60" s="4">
        <f>IF(S$19-PI_ChangeYr_C+1&gt;=PI_ChangePeriod_C,PI12_Reduce_C,PI12_Reduce_C/PI_ChangePeriod_C*(S19-PI_ChangeYr_C+1))</f>
        <v>0.06</v>
      </c>
      <c r="T60" s="4">
        <f>IF(T$19-PI_ChangeYr_C+1&gt;=PI_ChangePeriod_C,PI12_Reduce_C,PI12_Reduce_C/PI_ChangePeriod_C*(T19-PI_ChangeYr_C+1))</f>
        <v>0.12</v>
      </c>
      <c r="U60" s="4">
        <f>IF(U$19-PI_ChangeYr_C+1&gt;=PI_ChangePeriod_C,PI12_Reduce_C,PI12_Reduce_C/PI_ChangePeriod_C*(U19-PI_ChangeYr_C+1))</f>
        <v>0.18</v>
      </c>
      <c r="V60" s="4">
        <f>IF(V$19-PI_ChangeYr_C+1&gt;=PI_ChangePeriod_C,PI12_Reduce_C,PI12_Reduce_C/PI_ChangePeriod_C*(V19-PI_ChangeYr_C+1))</f>
        <v>0.24</v>
      </c>
      <c r="W60" s="4">
        <f>IF(W$19-PI_ChangeYr_C+1&gt;=PI_ChangePeriod_C,PI12_Reduce_C,PI12_Reduce_C/PI_ChangePeriod_C*(W19-PI_ChangeYr_C+1))</f>
        <v>0.24</v>
      </c>
    </row>
    <row r="61" spans="2:23">
      <c r="B61" t="s">
        <v>175</v>
      </c>
      <c r="C61" s="31">
        <f>C59*(1-C60)</f>
        <v>3700490.8233481864</v>
      </c>
      <c r="D61" s="31">
        <f>D59*(1-D60)</f>
        <v>3719226.9926748229</v>
      </c>
      <c r="E61" s="31">
        <f>E59*(1-E60)</f>
        <v>3726520.810054902</v>
      </c>
      <c r="F61" s="31">
        <f>F59*(1-F60)</f>
        <v>3720909.1081291717</v>
      </c>
      <c r="G61" s="31">
        <f>G59*(1-G60)</f>
        <v>3947512.4728142391</v>
      </c>
      <c r="J61" t="s">
        <v>175</v>
      </c>
      <c r="K61" s="31">
        <f>K59*(1-K60)</f>
        <v>2393243.7493317118</v>
      </c>
      <c r="L61" s="31">
        <f>L59*(1-L60)</f>
        <v>2433200.9480965948</v>
      </c>
      <c r="M61" s="31">
        <f>M59*(1-M60)</f>
        <v>2469148.8473210833</v>
      </c>
      <c r="N61" s="31">
        <f>N59*(1-N60)</f>
        <v>2500450.9206628031</v>
      </c>
      <c r="O61" s="31">
        <f>O59*(1-O60)</f>
        <v>2652728.3817311679</v>
      </c>
      <c r="R61" t="s">
        <v>175</v>
      </c>
      <c r="S61" s="31">
        <f>S59*(1-S60)</f>
        <v>5272615.1352464268</v>
      </c>
      <c r="T61" s="31">
        <f>T59*(1-T60)</f>
        <v>5236671.6056861514</v>
      </c>
      <c r="U61" s="31">
        <f>U59*(1-U60)</f>
        <v>5176795.0264856806</v>
      </c>
      <c r="V61" s="31">
        <f>V59*(1-V60)</f>
        <v>5090203.6599207073</v>
      </c>
      <c r="W61" s="31">
        <f>W59*(1-W60)</f>
        <v>5400197.062809879</v>
      </c>
    </row>
    <row r="62" spans="2:23">
      <c r="B62" s="21" t="s">
        <v>176</v>
      </c>
      <c r="C62" s="32">
        <f>C59-C61</f>
        <v>194762.67491306271</v>
      </c>
      <c r="D62" s="32">
        <f>D59-D61</f>
        <v>413247.44363053562</v>
      </c>
      <c r="E62" s="32">
        <f>E59-E61</f>
        <v>657621.3194214534</v>
      </c>
      <c r="F62" s="32">
        <f>F59-F61</f>
        <v>930227.27703229245</v>
      </c>
      <c r="G62" s="32">
        <f>G59-G61</f>
        <v>986878.11820355942</v>
      </c>
      <c r="J62" s="21" t="s">
        <v>176</v>
      </c>
      <c r="K62" s="32">
        <f>K59-K61</f>
        <v>99718.489555487875</v>
      </c>
      <c r="L62" s="32">
        <f>L59-L61</f>
        <v>211582.69113883469</v>
      </c>
      <c r="M62" s="32">
        <f>M59-M61</f>
        <v>336702.11554378411</v>
      </c>
      <c r="N62" s="32">
        <f>N59-N61</f>
        <v>476276.36584053421</v>
      </c>
      <c r="O62" s="32">
        <f>O59-O61</f>
        <v>505281.59652022272</v>
      </c>
      <c r="R62" s="21" t="s">
        <v>176</v>
      </c>
      <c r="S62" s="32">
        <f>S59-S61</f>
        <v>336549.9022497721</v>
      </c>
      <c r="T62" s="32">
        <f>T59-T61</f>
        <v>714091.58259356581</v>
      </c>
      <c r="U62" s="32">
        <f>U59-U61</f>
        <v>1136369.6399602713</v>
      </c>
      <c r="V62" s="32">
        <f>V59-V61</f>
        <v>1607432.7347118016</v>
      </c>
      <c r="W62" s="32">
        <f>W59-W61</f>
        <v>1705325.3882557508</v>
      </c>
    </row>
    <row r="63" spans="2:23">
      <c r="B63" s="37"/>
      <c r="C63" s="53"/>
      <c r="D63" s="53"/>
      <c r="E63" s="53"/>
      <c r="F63" s="53"/>
      <c r="G63" s="53"/>
      <c r="J63" s="37"/>
      <c r="K63" s="53"/>
      <c r="L63" s="53"/>
      <c r="M63" s="53"/>
      <c r="N63" s="53"/>
      <c r="O63" s="53"/>
      <c r="R63" s="37"/>
      <c r="S63" s="53"/>
      <c r="T63" s="53"/>
      <c r="U63" s="53"/>
      <c r="V63" s="53"/>
      <c r="W63" s="53"/>
    </row>
    <row r="64" spans="2:23">
      <c r="B64" s="1" t="str">
        <f>Inputs!B134</f>
        <v>Stage 3-4 HAPIs</v>
      </c>
      <c r="J64" s="1" t="str">
        <f>Inputs!B134</f>
        <v>Stage 3-4 HAPIs</v>
      </c>
      <c r="R64" s="1" t="str">
        <f>Inputs!B134</f>
        <v>Stage 3-4 HAPIs</v>
      </c>
    </row>
    <row r="65" spans="2:23">
      <c r="B65" t="s">
        <v>182</v>
      </c>
      <c r="C65" s="31">
        <f>Inputs!$G$135*Inputs!$G$137*C51*(1+Inputs!$G$136)^(Calculations!C$19-Inputs!$G$139)</f>
        <v>1549954.4638833001</v>
      </c>
      <c r="D65" s="31">
        <f>Inputs!$G$135*Inputs!$G$137*D51*(1+Inputs!$G$136)^(Calculations!D$19-Inputs!$G$139)</f>
        <v>1644346.690733793</v>
      </c>
      <c r="E65" s="31">
        <f>Inputs!$G$135*Inputs!$G$137*E51*(1+Inputs!$G$136)^(Calculations!E$19-Inputs!$G$139)</f>
        <v>1744487.404199481</v>
      </c>
      <c r="F65" s="31">
        <f>Inputs!$G$135*Inputs!$G$137*F51*(1+Inputs!$G$136)^(Calculations!F$19-Inputs!$G$139)</f>
        <v>1850726.687115229</v>
      </c>
      <c r="G65" s="31">
        <f>Inputs!$G$135*Inputs!$G$137*G51*(1+Inputs!$G$136)^(Calculations!G$19-Inputs!$G$139)</f>
        <v>1963435.9423605464</v>
      </c>
      <c r="J65" t="s">
        <v>182</v>
      </c>
      <c r="K65" s="31">
        <f>PI34_Cost_A*PI34_Rate_A*K51*(1+PI34_Grow_A)^(K19-PI34_Ref_A)</f>
        <v>991970.85688531224</v>
      </c>
      <c r="L65" s="31">
        <f>PI34_Cost_A*PI34_Rate_A*L51*(1+PI34_Grow_A)^(L19-PI34_Ref_A)</f>
        <v>1052381.8820696278</v>
      </c>
      <c r="M65" s="31">
        <f>PI34_Cost_A*PI34_Rate_A*M51*(1+PI34_Grow_A)^(M19-PI34_Ref_A)</f>
        <v>1116471.9386876679</v>
      </c>
      <c r="N65" s="31">
        <f>PI34_Cost_A*PI34_Rate_A*N51*(1+PI34_Grow_A)^(N19-PI34_Ref_A)</f>
        <v>1184465.0797537467</v>
      </c>
      <c r="O65" s="31">
        <f>PI34_Cost_A*PI34_Rate_A*O51*(1+PI34_Grow_A)^(O19-PI34_Ref_A)</f>
        <v>1256599.0031107499</v>
      </c>
      <c r="R65" t="s">
        <v>182</v>
      </c>
      <c r="S65" s="31">
        <f>PI34_Cost_C*PI34_Rate_C*S51*(1+PI34_Grow_C)^(S19-PI34_Ref_C)</f>
        <v>2231934.4279919523</v>
      </c>
      <c r="T65" s="31">
        <f>PI34_Cost_C*PI34_Rate_C*T51*(1+PI34_Grow_C)^(T19-PI34_Ref_C)</f>
        <v>2367859.2346566617</v>
      </c>
      <c r="U65" s="31">
        <f>PI34_Cost_C*PI34_Rate_C*U51*(1+PI34_Grow_C)^(U19-PI34_Ref_C)</f>
        <v>2512061.8620472527</v>
      </c>
      <c r="V65" s="31">
        <f>PI34_Cost_C*PI34_Rate_C*V51*(1+PI34_Grow_C)^(V19-PI34_Ref_C)</f>
        <v>2665046.4294459294</v>
      </c>
      <c r="W65" s="31">
        <f>PI34_Cost_C*PI34_Rate_C*W51*(1+PI34_Grow_C)^(W19-PI34_Ref_C)</f>
        <v>2827347.7569991867</v>
      </c>
    </row>
    <row r="66" spans="2:23">
      <c r="B66" t="s">
        <v>183</v>
      </c>
      <c r="C66" s="4">
        <f>IF(C$19-Inputs!$G$141+1&gt;=Inputs!$G$142,Inputs!$G$144,Inputs!$G$144/Inputs!$G$142*(Calculations!C$19-Inputs!$G$141+1))</f>
        <v>7.4999999999999997E-2</v>
      </c>
      <c r="D66" s="4">
        <f>IF(D$19-Inputs!$G$141+1&gt;=Inputs!$G$142,Inputs!$G$144,Inputs!$G$144/Inputs!$G$142*(Calculations!D$19-Inputs!$G$141+1))</f>
        <v>0.15</v>
      </c>
      <c r="E66" s="4">
        <f>IF(E$19-Inputs!$G$141+1&gt;=Inputs!$G$142,Inputs!$G$144,Inputs!$G$144/Inputs!$G$142*(Calculations!E$19-Inputs!$G$141+1))</f>
        <v>0.22499999999999998</v>
      </c>
      <c r="F66" s="4">
        <f>IF(F$19-Inputs!$G$141+1&gt;=Inputs!$G$142,Inputs!$G$144,Inputs!$G$144/Inputs!$G$142*(Calculations!F$19-Inputs!$G$141+1))</f>
        <v>0.3</v>
      </c>
      <c r="G66" s="4">
        <f>IF(G$19-Inputs!$G$141+1&gt;=Inputs!$G$142,Inputs!$G$144,Inputs!$G$144/Inputs!$G$142*(Calculations!G$19-Inputs!$G$141+1))</f>
        <v>0.3</v>
      </c>
      <c r="J66" t="s">
        <v>183</v>
      </c>
      <c r="K66" s="4">
        <f>IF(K$19-PI_ChangeYr_A+1&gt;=PI_ChangePeriod_A,PI34_Reduce_A,PI34_Reduce_A/PI_ChangePeriod_A*(K19-PI_ChangeYr_A+1))</f>
        <v>0.06</v>
      </c>
      <c r="L66" s="4">
        <f>IF(L$19-PI_ChangeYr_A+1&gt;=PI_ChangePeriod_A,PI34_Reduce_A,PI34_Reduce_A/PI_ChangePeriod_A*(L19-PI_ChangeYr_A+1))</f>
        <v>0.12</v>
      </c>
      <c r="M66" s="4">
        <f>IF(M$19-PI_ChangeYr_A+1&gt;=PI_ChangePeriod_A,PI34_Reduce_A,PI34_Reduce_A/PI_ChangePeriod_A*(M19-PI_ChangeYr_A+1))</f>
        <v>0.18</v>
      </c>
      <c r="N66" s="4">
        <f>IF(N$19-PI_ChangeYr_A+1&gt;=PI_ChangePeriod_A,PI34_Reduce_A,PI34_Reduce_A/PI_ChangePeriod_A*(N19-PI_ChangeYr_A+1))</f>
        <v>0.24</v>
      </c>
      <c r="O66" s="4">
        <f>IF(O$19-PI_ChangeYr_A+1&gt;=PI_ChangePeriod_A,PI34_Reduce_A,PI34_Reduce_A/PI_ChangePeriod_A*(O19-PI_ChangeYr_A+1))</f>
        <v>0.24</v>
      </c>
      <c r="R66" t="s">
        <v>183</v>
      </c>
      <c r="S66" s="4">
        <f>IF(S$19-PI_ChangeYr_C+1&gt;=PI_ChangePeriod_C,PI34_Reduce_C,PI34_Reduce_C/PI_ChangePeriod_C*(S19-PI_ChangeYr_C+1))</f>
        <v>0.09</v>
      </c>
      <c r="T66" s="4">
        <f>IF(T$19-PI_ChangeYr_C+1&gt;=PI_ChangePeriod_C,PI34_Reduce_C,PI34_Reduce_C/PI_ChangePeriod_C*(T19-PI_ChangeYr_C+1))</f>
        <v>0.18</v>
      </c>
      <c r="U66" s="4">
        <f>IF(U$19-PI_ChangeYr_C+1&gt;=PI_ChangePeriod_C,PI34_Reduce_C,PI34_Reduce_C/PI_ChangePeriod_C*(U19-PI_ChangeYr_C+1))</f>
        <v>0.27</v>
      </c>
      <c r="V66" s="4">
        <f>IF(V$19-PI_ChangeYr_C+1&gt;=PI_ChangePeriod_C,PI34_Reduce_C,PI34_Reduce_C/PI_ChangePeriod_C*(V19-PI_ChangeYr_C+1))</f>
        <v>0.36</v>
      </c>
      <c r="W66" s="4">
        <f>IF(W$19-PI_ChangeYr_C+1&gt;=PI_ChangePeriod_C,PI34_Reduce_C,PI34_Reduce_C/PI_ChangePeriod_C*(W19-PI_ChangeYr_C+1))</f>
        <v>0.36</v>
      </c>
    </row>
    <row r="67" spans="2:23">
      <c r="B67" t="s">
        <v>184</v>
      </c>
      <c r="C67" s="31">
        <f>C65*(1-C66)</f>
        <v>1433707.8790920526</v>
      </c>
      <c r="D67" s="31">
        <f>D65*(1-D66)</f>
        <v>1397694.687123724</v>
      </c>
      <c r="E67" s="31">
        <f>E65*(1-E66)</f>
        <v>1351977.7382545979</v>
      </c>
      <c r="F67" s="31">
        <f>F65*(1-F66)</f>
        <v>1295508.6809806603</v>
      </c>
      <c r="G67" s="31">
        <f>G65*(1-G66)</f>
        <v>1374405.1596523824</v>
      </c>
      <c r="J67" t="s">
        <v>184</v>
      </c>
      <c r="K67" s="31">
        <f>K65*(1-K66)</f>
        <v>932452.60547219345</v>
      </c>
      <c r="L67" s="31">
        <f>L65*(1-L66)</f>
        <v>926096.05622127245</v>
      </c>
      <c r="M67" s="31">
        <f>M65*(1-M66)</f>
        <v>915506.98972388776</v>
      </c>
      <c r="N67" s="31">
        <f>N65*(1-N66)</f>
        <v>900193.46061284759</v>
      </c>
      <c r="O67" s="31">
        <f>O65*(1-O66)</f>
        <v>955015.24236416991</v>
      </c>
      <c r="R67" t="s">
        <v>184</v>
      </c>
      <c r="S67" s="31">
        <f>S65*(1-S66)</f>
        <v>2031060.3294726766</v>
      </c>
      <c r="T67" s="31">
        <f>T65*(1-T66)</f>
        <v>1941644.5724184627</v>
      </c>
      <c r="U67" s="31">
        <f>U65*(1-U66)</f>
        <v>1833805.1592944944</v>
      </c>
      <c r="V67" s="31">
        <f>V65*(1-V66)</f>
        <v>1705629.7148453947</v>
      </c>
      <c r="W67" s="31">
        <f>W65*(1-W66)</f>
        <v>1809502.5644794796</v>
      </c>
    </row>
    <row r="68" spans="2:23">
      <c r="B68" s="21" t="s">
        <v>185</v>
      </c>
      <c r="C68" s="32">
        <f>C65-C67</f>
        <v>116246.5847912475</v>
      </c>
      <c r="D68" s="32">
        <f>D65-D67</f>
        <v>246652.00361006893</v>
      </c>
      <c r="E68" s="32">
        <f>E65-E67</f>
        <v>392509.66594488313</v>
      </c>
      <c r="F68" s="32">
        <f>F65-F67</f>
        <v>555218.00613456871</v>
      </c>
      <c r="G68" s="32">
        <f>G65-G67</f>
        <v>589030.78270816407</v>
      </c>
      <c r="J68" s="21" t="s">
        <v>185</v>
      </c>
      <c r="K68" s="32">
        <f>K65-K67</f>
        <v>59518.251413118793</v>
      </c>
      <c r="L68" s="32">
        <f>L65-L67</f>
        <v>126285.82584835531</v>
      </c>
      <c r="M68" s="32">
        <f>M65-M67</f>
        <v>200964.94896378019</v>
      </c>
      <c r="N68" s="32">
        <f>N65-N67</f>
        <v>284271.61914089916</v>
      </c>
      <c r="O68" s="32">
        <f>O65-O67</f>
        <v>301583.76074657997</v>
      </c>
      <c r="R68" s="21" t="s">
        <v>185</v>
      </c>
      <c r="S68" s="32">
        <f>S65-S67</f>
        <v>200874.09851927566</v>
      </c>
      <c r="T68" s="32">
        <f>T65-T67</f>
        <v>426214.66223819903</v>
      </c>
      <c r="U68" s="32">
        <f>U65-U67</f>
        <v>678256.70275275828</v>
      </c>
      <c r="V68" s="32">
        <f>V65-V67</f>
        <v>959416.71460053464</v>
      </c>
      <c r="W68" s="32">
        <f>W65-W67</f>
        <v>1017845.1925197071</v>
      </c>
    </row>
    <row r="69" spans="2:23">
      <c r="B69" s="37"/>
      <c r="C69" s="53"/>
      <c r="D69" s="53"/>
      <c r="E69" s="53"/>
      <c r="F69" s="53"/>
      <c r="G69" s="53"/>
      <c r="J69" s="37"/>
      <c r="K69" s="53"/>
      <c r="L69" s="53"/>
      <c r="M69" s="53"/>
      <c r="N69" s="53"/>
      <c r="O69" s="53"/>
      <c r="R69" s="37"/>
      <c r="S69" s="53"/>
      <c r="T69" s="53"/>
      <c r="U69" s="53"/>
      <c r="V69" s="53"/>
      <c r="W69" s="53"/>
    </row>
    <row r="71" spans="2:23">
      <c r="B71" s="1" t="s">
        <v>3</v>
      </c>
      <c r="C71" s="31"/>
      <c r="D71" s="31"/>
      <c r="E71" s="31"/>
      <c r="F71" s="31"/>
      <c r="G71" s="31"/>
      <c r="J71" s="1" t="s">
        <v>3</v>
      </c>
      <c r="K71" s="31"/>
      <c r="L71" s="31"/>
      <c r="M71" s="31"/>
      <c r="N71" s="31"/>
      <c r="O71" s="31"/>
      <c r="R71" s="1" t="s">
        <v>3</v>
      </c>
      <c r="S71" s="31"/>
      <c r="T71" s="31"/>
      <c r="U71" s="31"/>
      <c r="V71" s="31"/>
      <c r="W71" s="31"/>
    </row>
    <row r="72" spans="2:23">
      <c r="B72" s="21" t="s">
        <v>4</v>
      </c>
      <c r="C72" s="32">
        <f>Costs_B*(1+CostsGrow_B)^(C19-Costs_Ref_B)</f>
        <v>1714950</v>
      </c>
      <c r="D72" s="32">
        <f>Inputs!$G$174*(1+Inputs!$G$175)^(Calculations!D$19-Inputs!$G$176)</f>
        <v>1766398.5</v>
      </c>
      <c r="E72" s="32">
        <f>Inputs!$G$174*(1+Inputs!$G$175)^(Calculations!E$19-Inputs!$G$176)</f>
        <v>1819390.4550000001</v>
      </c>
      <c r="F72" s="32">
        <f>Inputs!$G$174*(1+Inputs!$G$175)^(Calculations!F$19-Inputs!$G$176)</f>
        <v>1873972.1686499999</v>
      </c>
      <c r="G72" s="32">
        <f>Inputs!$G$174*(1+Inputs!$G$175)^(Calculations!G$19-Inputs!$G$176)</f>
        <v>1930191.3337094998</v>
      </c>
      <c r="J72" s="21" t="s">
        <v>4</v>
      </c>
      <c r="K72" s="32">
        <f>Costs_A*(1+CostsGrow_A)^(K19-Costs_Ref_A)</f>
        <v>1637700</v>
      </c>
      <c r="L72" s="32">
        <f>Costs_A*(1+CostsGrow_A)^(L19-Costs_Ref_A)</f>
        <v>1686831</v>
      </c>
      <c r="M72" s="32">
        <f>Costs_A*(1+CostsGrow_A)^(M19-Costs_Ref_A)</f>
        <v>1737435.93</v>
      </c>
      <c r="N72" s="32">
        <f>Costs_A*(1+CostsGrow_A)^(N19-Costs_Ref_A)</f>
        <v>1789559.0078999999</v>
      </c>
      <c r="O72" s="32">
        <f>Costs_A*(1+CostsGrow_A)^(O19-Costs_Ref_A)</f>
        <v>1843245.7781369998</v>
      </c>
      <c r="R72" s="21" t="s">
        <v>4</v>
      </c>
      <c r="S72" s="101">
        <f>Costs_C*(1+CostsGrow_C)^(S19-Costs_Ref_C)</f>
        <v>1761300</v>
      </c>
      <c r="T72" s="101">
        <f>Costs_C*(1+CostsGrow_C)^(T19-Costs_Ref_C)</f>
        <v>1814139</v>
      </c>
      <c r="U72" s="101">
        <f>Costs_C*(1+CostsGrow_C)^(U19-Costs_Ref_C)</f>
        <v>1868563.17</v>
      </c>
      <c r="V72" s="101">
        <f>Costs_C*(1+CostsGrow_C)^(V19-Costs_Ref_C)</f>
        <v>1924620.0650999998</v>
      </c>
      <c r="W72" s="101">
        <f>Costs_C*(1+CostsGrow_C)^(W19-Costs_Ref_C)</f>
        <v>1982358.6670529998</v>
      </c>
    </row>
    <row r="73" spans="2:23">
      <c r="B73" s="37"/>
      <c r="C73" s="53"/>
      <c r="D73" s="53"/>
      <c r="E73" s="53"/>
      <c r="F73" s="53"/>
      <c r="G73" s="53"/>
      <c r="J73" s="37"/>
      <c r="K73" s="53"/>
      <c r="L73" s="53"/>
      <c r="M73" s="53"/>
      <c r="N73" s="53"/>
      <c r="O73" s="53"/>
      <c r="R73" s="37"/>
      <c r="S73" s="53"/>
      <c r="T73" s="53"/>
      <c r="U73" s="53"/>
      <c r="V73" s="53"/>
      <c r="W73" s="53"/>
    </row>
    <row r="74" spans="2:23">
      <c r="B74" s="37"/>
      <c r="C74" s="53"/>
      <c r="D74" s="53"/>
      <c r="E74" s="53"/>
      <c r="F74" s="53"/>
      <c r="G74" s="53"/>
      <c r="J74" s="37"/>
      <c r="K74" s="53"/>
      <c r="L74" s="53"/>
      <c r="M74" s="53"/>
      <c r="N74" s="53"/>
      <c r="O74" s="53"/>
      <c r="R74" s="37"/>
      <c r="S74" s="53"/>
      <c r="T74" s="53"/>
      <c r="U74" s="53"/>
      <c r="V74" s="53"/>
      <c r="W74" s="53"/>
    </row>
    <row r="76" spans="2:23">
      <c r="B76" s="1" t="s">
        <v>5</v>
      </c>
      <c r="J76" s="1" t="s">
        <v>5</v>
      </c>
      <c r="R76" s="1" t="s">
        <v>5</v>
      </c>
    </row>
    <row r="77" spans="2:23">
      <c r="C77" s="65">
        <f>C26</f>
        <v>27493.59375</v>
      </c>
      <c r="D77" s="65">
        <f>D26</f>
        <v>57736.546875</v>
      </c>
      <c r="E77" s="65">
        <f>E26</f>
        <v>90935.061328125012</v>
      </c>
      <c r="F77" s="65">
        <f>F26</f>
        <v>127309.08585937502</v>
      </c>
      <c r="G77" s="65">
        <f>G26</f>
        <v>133674.54015234375</v>
      </c>
      <c r="K77" s="65">
        <f>K26</f>
        <v>17262.33600000001</v>
      </c>
      <c r="L77" s="65">
        <f>L26</f>
        <v>35905.658880000003</v>
      </c>
      <c r="M77" s="65">
        <f>M26</f>
        <v>56012.827852800023</v>
      </c>
      <c r="N77" s="65">
        <f>N26</f>
        <v>77671.121289215982</v>
      </c>
      <c r="O77" s="65">
        <f>O26</f>
        <v>80777.966140784614</v>
      </c>
      <c r="S77" s="65">
        <f>S26</f>
        <v>40348.475999999966</v>
      </c>
      <c r="T77" s="65">
        <f>T26</f>
        <v>80696.952000000048</v>
      </c>
      <c r="U77" s="65">
        <f>U26</f>
        <v>121045.42800000001</v>
      </c>
      <c r="V77" s="65">
        <f>V26</f>
        <v>161393.90400000004</v>
      </c>
      <c r="W77" s="65">
        <f>W26</f>
        <v>161393.90400000004</v>
      </c>
    </row>
    <row r="78" spans="2:23">
      <c r="B78" s="5"/>
      <c r="C78" s="31">
        <f>C32</f>
        <v>302107.05000000005</v>
      </c>
      <c r="D78" s="31">
        <f>D32</f>
        <v>634424.80499999993</v>
      </c>
      <c r="E78" s="31">
        <f>E32</f>
        <v>999219.06787500007</v>
      </c>
      <c r="F78" s="31">
        <f>F32</f>
        <v>1049180.0212687501</v>
      </c>
      <c r="G78" s="31">
        <f>G32</f>
        <v>1101639.0223321875</v>
      </c>
      <c r="J78" s="5"/>
      <c r="K78" s="31">
        <f>K32</f>
        <v>189683.2204799999</v>
      </c>
      <c r="L78" s="31">
        <f>L32</f>
        <v>394541.0985983999</v>
      </c>
      <c r="M78" s="31">
        <f>M32</f>
        <v>615484.11381350411</v>
      </c>
      <c r="N78" s="31">
        <f>N32</f>
        <v>640103.47836604435</v>
      </c>
      <c r="O78" s="31">
        <f>O32</f>
        <v>665707.61750068609</v>
      </c>
      <c r="R78" s="5"/>
      <c r="S78" s="31">
        <f>S32</f>
        <v>443359.97567999992</v>
      </c>
      <c r="T78" s="31">
        <f>T32</f>
        <v>939923.14844160015</v>
      </c>
      <c r="U78" s="31">
        <f>U32</f>
        <v>1494477.8060221444</v>
      </c>
      <c r="V78" s="31">
        <f>V32</f>
        <v>1584146.4743834732</v>
      </c>
      <c r="W78" s="31">
        <f>W32</f>
        <v>1679195.2628464818</v>
      </c>
    </row>
    <row r="79" spans="2:23">
      <c r="C79" s="31">
        <f>C38</f>
        <v>198450</v>
      </c>
      <c r="D79" s="31">
        <f>D38</f>
        <v>416745</v>
      </c>
      <c r="E79" s="31">
        <f>E38</f>
        <v>656373.375</v>
      </c>
      <c r="F79" s="31">
        <f>F38</f>
        <v>689192.04375000007</v>
      </c>
      <c r="G79" s="31">
        <f>G38</f>
        <v>723651.64593749994</v>
      </c>
      <c r="K79" s="31">
        <f>K38</f>
        <v>145530</v>
      </c>
      <c r="L79" s="31">
        <f>L38</f>
        <v>305613</v>
      </c>
      <c r="M79" s="31">
        <f>M38</f>
        <v>481340.47499999998</v>
      </c>
      <c r="N79" s="31">
        <f>N38</f>
        <v>505407.49875000014</v>
      </c>
      <c r="O79" s="31">
        <f>O38</f>
        <v>530677.87368750002</v>
      </c>
      <c r="S79" s="31">
        <f>S38</f>
        <v>314344.80000000005</v>
      </c>
      <c r="T79" s="31">
        <f>T38</f>
        <v>660124.07999999996</v>
      </c>
      <c r="U79" s="31">
        <f>U38</f>
        <v>1039695.426</v>
      </c>
      <c r="V79" s="31">
        <f>V38</f>
        <v>1091680.1973000001</v>
      </c>
      <c r="W79" s="31">
        <f>W38</f>
        <v>1146264.207165</v>
      </c>
    </row>
    <row r="80" spans="2:23">
      <c r="C80" s="31">
        <f>C47</f>
        <v>238702.5</v>
      </c>
      <c r="D80" s="31">
        <f>D47</f>
        <v>506478.9645</v>
      </c>
      <c r="E80" s="31">
        <f>E47</f>
        <v>805985.30015707482</v>
      </c>
      <c r="F80" s="31">
        <f>F47</f>
        <v>1140093.0732488541</v>
      </c>
      <c r="G80" s="31">
        <f>G47</f>
        <v>1209524.7414097094</v>
      </c>
      <c r="K80" s="31">
        <f>K47</f>
        <v>160744.5</v>
      </c>
      <c r="L80" s="31">
        <f>L47</f>
        <v>354441.62250000006</v>
      </c>
      <c r="M80" s="31">
        <f>M47</f>
        <v>586157.83320937539</v>
      </c>
      <c r="N80" s="31">
        <f>N47</f>
        <v>861652.01481778128</v>
      </c>
      <c r="O80" s="31">
        <f>O47</f>
        <v>949971.34633660386</v>
      </c>
      <c r="S80" s="31">
        <f>S47</f>
        <v>360186.75</v>
      </c>
      <c r="T80" s="31">
        <f>T47</f>
        <v>794211.78374999994</v>
      </c>
      <c r="U80" s="31">
        <f>U47</f>
        <v>1313427.737376563</v>
      </c>
      <c r="V80" s="31">
        <f>V47</f>
        <v>1930738.7739435469</v>
      </c>
      <c r="W80" s="31">
        <f>W47</f>
        <v>2128639.4982727608</v>
      </c>
    </row>
    <row r="81" spans="2:23">
      <c r="C81" s="31">
        <f>C56</f>
        <v>98913.202652943553</v>
      </c>
      <c r="D81" s="31">
        <f>D56</f>
        <v>216170.25439068582</v>
      </c>
      <c r="E81" s="31">
        <f>E56</f>
        <v>354322.61035435647</v>
      </c>
      <c r="F81" s="31">
        <f>F56</f>
        <v>387177.88304468477</v>
      </c>
      <c r="G81" s="31">
        <f>G56</f>
        <v>423079.72660576925</v>
      </c>
      <c r="K81" s="31">
        <f>K56</f>
        <v>40514.847806645674</v>
      </c>
      <c r="L81" s="31">
        <f>L56</f>
        <v>88543.33619842492</v>
      </c>
      <c r="M81" s="31">
        <f>M56</f>
        <v>145130.54120114446</v>
      </c>
      <c r="N81" s="31">
        <f>N56</f>
        <v>158588.0608951028</v>
      </c>
      <c r="O81" s="31">
        <f>O56</f>
        <v>173293.45601772307</v>
      </c>
      <c r="S81" s="31">
        <f>S56</f>
        <v>205106.41702114372</v>
      </c>
      <c r="T81" s="31">
        <f>T56</f>
        <v>298833.75966968434</v>
      </c>
      <c r="U81" s="31">
        <f>U56</f>
        <v>489815.57655386208</v>
      </c>
      <c r="V81" s="31">
        <f>V56</f>
        <v>535234.70552097214</v>
      </c>
      <c r="W81" s="31">
        <f>W56</f>
        <v>584865.41405981546</v>
      </c>
    </row>
    <row r="82" spans="2:23">
      <c r="C82" s="31">
        <f>C62</f>
        <v>194762.67491306271</v>
      </c>
      <c r="D82" s="31">
        <f>D62</f>
        <v>413247.44363053562</v>
      </c>
      <c r="E82" s="31">
        <f>E62</f>
        <v>657621.3194214534</v>
      </c>
      <c r="F82" s="31">
        <f>F62</f>
        <v>930227.27703229245</v>
      </c>
      <c r="G82" s="31">
        <f>G62</f>
        <v>986878.11820355942</v>
      </c>
      <c r="K82" s="31">
        <f>K62</f>
        <v>99718.489555487875</v>
      </c>
      <c r="L82" s="31">
        <f>L62</f>
        <v>211582.69113883469</v>
      </c>
      <c r="M82" s="31">
        <f>M62</f>
        <v>336702.11554378411</v>
      </c>
      <c r="N82" s="31">
        <f>N62</f>
        <v>476276.36584053421</v>
      </c>
      <c r="O82" s="31">
        <f>O62</f>
        <v>505281.59652022272</v>
      </c>
      <c r="S82" s="31">
        <f>S62</f>
        <v>336549.9022497721</v>
      </c>
      <c r="T82" s="31">
        <f>T62</f>
        <v>714091.58259356581</v>
      </c>
      <c r="U82" s="31">
        <f>U62</f>
        <v>1136369.6399602713</v>
      </c>
      <c r="V82" s="31">
        <f>V62</f>
        <v>1607432.7347118016</v>
      </c>
      <c r="W82" s="31">
        <f>W62</f>
        <v>1705325.3882557508</v>
      </c>
    </row>
    <row r="83" spans="2:23">
      <c r="C83" s="31">
        <f>C68</f>
        <v>116246.5847912475</v>
      </c>
      <c r="D83" s="31">
        <f>D68</f>
        <v>246652.00361006893</v>
      </c>
      <c r="E83" s="31">
        <f>E68</f>
        <v>392509.66594488313</v>
      </c>
      <c r="F83" s="31">
        <f>F68</f>
        <v>555218.00613456871</v>
      </c>
      <c r="G83" s="31">
        <f>G68</f>
        <v>589030.78270816407</v>
      </c>
      <c r="K83" s="31">
        <f>K68</f>
        <v>59518.251413118793</v>
      </c>
      <c r="L83" s="31">
        <f>L68</f>
        <v>126285.82584835531</v>
      </c>
      <c r="M83" s="31">
        <f>M68</f>
        <v>200964.94896378019</v>
      </c>
      <c r="N83" s="31">
        <f>N68</f>
        <v>284271.61914089916</v>
      </c>
      <c r="O83" s="31">
        <f>O68</f>
        <v>301583.76074657997</v>
      </c>
      <c r="S83" s="31">
        <f>S68</f>
        <v>200874.09851927566</v>
      </c>
      <c r="T83" s="31">
        <f>T68</f>
        <v>426214.66223819903</v>
      </c>
      <c r="U83" s="31">
        <f>U68</f>
        <v>678256.70275275828</v>
      </c>
      <c r="V83" s="31">
        <f>V68</f>
        <v>959416.71460053464</v>
      </c>
      <c r="W83" s="31">
        <f>W68</f>
        <v>1017845.1925197071</v>
      </c>
    </row>
    <row r="84" spans="2:23">
      <c r="B84" s="21" t="s">
        <v>6</v>
      </c>
      <c r="C84" s="32">
        <f>SUM(C77:C83)</f>
        <v>1176675.6061072538</v>
      </c>
      <c r="D84" s="32">
        <f>SUM(D77:D83)</f>
        <v>2491455.0180062903</v>
      </c>
      <c r="E84" s="32">
        <f>SUM(E77:E83)</f>
        <v>3956966.4000808927</v>
      </c>
      <c r="F84" s="32">
        <f>SUM(F77:F83)</f>
        <v>4878397.3903385261</v>
      </c>
      <c r="G84" s="32">
        <f>SUM(G77:G83)</f>
        <v>5167478.5773492344</v>
      </c>
      <c r="J84" s="21" t="s">
        <v>6</v>
      </c>
      <c r="K84" s="32">
        <f>SUM(K77:K83)</f>
        <v>712971.64525525225</v>
      </c>
      <c r="L84" s="32">
        <f>SUM(L77:L83)</f>
        <v>1516913.2331640148</v>
      </c>
      <c r="M84" s="32">
        <f>SUM(M77:M83)</f>
        <v>2421792.8555843886</v>
      </c>
      <c r="N84" s="32">
        <f>SUM(N77:N83)</f>
        <v>3003970.1590995779</v>
      </c>
      <c r="O84" s="32">
        <f>SUM(O77:O83)</f>
        <v>3207293.6169501008</v>
      </c>
      <c r="R84" s="21" t="s">
        <v>6</v>
      </c>
      <c r="S84" s="32">
        <f>SUM(S77:S83)</f>
        <v>1900770.4194701915</v>
      </c>
      <c r="T84" s="32">
        <f>SUM(T77:T83)</f>
        <v>3914095.9686930496</v>
      </c>
      <c r="U84" s="32">
        <f>SUM(U77:U83)</f>
        <v>6273088.3166655991</v>
      </c>
      <c r="V84" s="32">
        <f>SUM(V77:V83)</f>
        <v>7870043.5044603292</v>
      </c>
      <c r="W84" s="32">
        <f>SUM(W77:W83)</f>
        <v>8423528.8671195172</v>
      </c>
    </row>
    <row r="85" spans="2:23">
      <c r="B85" t="s">
        <v>7</v>
      </c>
      <c r="C85" s="3"/>
      <c r="D85" s="3"/>
      <c r="E85" s="3"/>
      <c r="F85" s="3"/>
      <c r="G85" s="3"/>
      <c r="J85" t="s">
        <v>7</v>
      </c>
      <c r="K85" s="3"/>
      <c r="L85" s="3"/>
      <c r="M85" s="3"/>
      <c r="N85" s="3"/>
      <c r="O85" s="3"/>
      <c r="R85" t="s">
        <v>7</v>
      </c>
      <c r="S85" s="3"/>
      <c r="T85" s="3"/>
      <c r="U85" s="3"/>
      <c r="V85" s="3"/>
      <c r="W85" s="3"/>
    </row>
    <row r="86" spans="2:23">
      <c r="C86" s="31">
        <f>SUM(C72:C72)</f>
        <v>1714950</v>
      </c>
      <c r="D86" s="31">
        <f>SUM(D72:D72)</f>
        <v>1766398.5</v>
      </c>
      <c r="E86" s="31">
        <f>SUM(E72:E72)</f>
        <v>1819390.4550000001</v>
      </c>
      <c r="F86" s="31">
        <f>SUM(F72:F72)</f>
        <v>1873972.1686499999</v>
      </c>
      <c r="G86" s="31">
        <f>SUM(G72:G72)</f>
        <v>1930191.3337094998</v>
      </c>
      <c r="K86" s="31">
        <f>SUM(K72:K72)</f>
        <v>1637700</v>
      </c>
      <c r="L86" s="31">
        <f>SUM(L72:L72)</f>
        <v>1686831</v>
      </c>
      <c r="M86" s="31">
        <f>SUM(M72:M72)</f>
        <v>1737435.93</v>
      </c>
      <c r="N86" s="31">
        <f>SUM(N72:N72)</f>
        <v>1789559.0078999999</v>
      </c>
      <c r="O86" s="31">
        <f>SUM(O72:O72)</f>
        <v>1843245.7781369998</v>
      </c>
      <c r="S86" s="31">
        <f>SUM(S72:S72)</f>
        <v>1761300</v>
      </c>
      <c r="T86" s="31">
        <f>SUM(T72:T72)</f>
        <v>1814139</v>
      </c>
      <c r="U86" s="31">
        <f>SUM(U72:U72)</f>
        <v>1868563.17</v>
      </c>
      <c r="V86" s="31">
        <f>SUM(V72:V72)</f>
        <v>1924620.0650999998</v>
      </c>
      <c r="W86" s="31">
        <f>SUM(W72:W72)</f>
        <v>1982358.6670529998</v>
      </c>
    </row>
    <row r="87" spans="2:23">
      <c r="B87" s="21" t="s">
        <v>8</v>
      </c>
      <c r="C87" s="32">
        <f>C84-C86</f>
        <v>-538274.39389274619</v>
      </c>
      <c r="D87" s="32">
        <f>D84-D86</f>
        <v>725056.51800629031</v>
      </c>
      <c r="E87" s="32">
        <f>E84-E86</f>
        <v>2137575.9450808926</v>
      </c>
      <c r="F87" s="32">
        <f>F84-F86</f>
        <v>3004425.2216885262</v>
      </c>
      <c r="G87" s="33">
        <f>G84-G86</f>
        <v>3237287.2436397346</v>
      </c>
      <c r="J87" s="21" t="s">
        <v>8</v>
      </c>
      <c r="K87" s="32">
        <f>K84-K86</f>
        <v>-924728.35474474775</v>
      </c>
      <c r="L87" s="32">
        <f>L84-L86</f>
        <v>-169917.76683598524</v>
      </c>
      <c r="M87" s="32">
        <f>M84-M86</f>
        <v>684356.92558438866</v>
      </c>
      <c r="N87" s="32">
        <f>N84-N86</f>
        <v>1214411.1511995781</v>
      </c>
      <c r="O87" s="33">
        <f>O84-O86</f>
        <v>1364047.8388131009</v>
      </c>
      <c r="R87" s="21" t="s">
        <v>8</v>
      </c>
      <c r="S87" s="32">
        <f>S84-S86</f>
        <v>139470.41947019147</v>
      </c>
      <c r="T87" s="32">
        <f>T84-T86</f>
        <v>2099956.9686930496</v>
      </c>
      <c r="U87" s="32">
        <f>U84-U86</f>
        <v>4404525.1466655992</v>
      </c>
      <c r="V87" s="32">
        <f>V84-V86</f>
        <v>5945423.4393603299</v>
      </c>
      <c r="W87" s="33">
        <f>W84-W86</f>
        <v>6441170.2000665171</v>
      </c>
    </row>
    <row r="88" spans="2:23">
      <c r="C88" s="31"/>
      <c r="E88" s="31"/>
      <c r="F88" s="31"/>
      <c r="G88" s="31"/>
      <c r="K88" s="31"/>
      <c r="M88" s="31"/>
      <c r="N88" s="31"/>
      <c r="O88" s="31"/>
      <c r="S88" s="31"/>
      <c r="U88" s="31"/>
      <c r="V88" s="31"/>
      <c r="W88" s="31"/>
    </row>
    <row r="89" spans="2:23">
      <c r="B89" s="1"/>
      <c r="C89" s="31"/>
      <c r="D89" s="31"/>
      <c r="E89" s="31"/>
      <c r="F89" s="31"/>
      <c r="G89" s="31"/>
      <c r="J89" s="1"/>
      <c r="K89" s="31"/>
      <c r="L89" s="31"/>
      <c r="M89" s="31"/>
      <c r="N89" s="31"/>
      <c r="O89" s="31"/>
      <c r="R89" s="1"/>
      <c r="S89" s="31"/>
      <c r="T89" s="31"/>
      <c r="U89" s="31"/>
      <c r="V89" s="31"/>
      <c r="W89" s="31"/>
    </row>
    <row r="90" spans="2:23">
      <c r="B90" s="24" t="s">
        <v>116</v>
      </c>
      <c r="C90" s="34">
        <f>Setup_B</f>
        <v>1550000.25</v>
      </c>
      <c r="D90" s="31"/>
      <c r="E90" s="31"/>
      <c r="F90" s="31"/>
      <c r="G90" s="31"/>
      <c r="J90" s="24" t="s">
        <v>116</v>
      </c>
      <c r="K90" s="34">
        <f>Setup_A</f>
        <v>1162500.1875</v>
      </c>
      <c r="L90" s="31"/>
      <c r="M90" s="31"/>
      <c r="N90" s="31"/>
      <c r="O90" s="31"/>
      <c r="R90" s="24" t="s">
        <v>116</v>
      </c>
      <c r="S90" s="34">
        <f>Setup_C</f>
        <v>1860000.3</v>
      </c>
      <c r="T90" s="31"/>
      <c r="U90" s="31"/>
      <c r="V90" s="31"/>
      <c r="W90" s="31"/>
    </row>
    <row r="91" spans="2:23">
      <c r="B91" s="1" t="s">
        <v>33</v>
      </c>
      <c r="C91" s="35">
        <f>SUM(C111:G111)-C90</f>
        <v>3262966.6107856184</v>
      </c>
      <c r="D91" s="31"/>
      <c r="E91" s="31"/>
      <c r="F91" s="31"/>
      <c r="G91" s="31"/>
      <c r="J91" s="1" t="s">
        <v>33</v>
      </c>
      <c r="K91" s="35">
        <f>SUM(K111:O111)-K90</f>
        <v>-272601.88785225991</v>
      </c>
      <c r="L91" s="31"/>
      <c r="M91" s="31"/>
      <c r="N91" s="31"/>
      <c r="O91" s="31"/>
      <c r="R91" s="1" t="s">
        <v>33</v>
      </c>
      <c r="S91" s="35">
        <f>SUM(S111:W111)-S90</f>
        <v>9346909.3886356428</v>
      </c>
      <c r="T91" s="31"/>
      <c r="U91" s="31"/>
      <c r="V91" s="31"/>
      <c r="W91" s="31"/>
    </row>
    <row r="92" spans="2:23">
      <c r="B92" s="1" t="s">
        <v>32</v>
      </c>
      <c r="C92" s="18">
        <f>(SUM(C113:G122)-(SUM(C123:G123)-C94))/(SUM(C123:G123)-C94)/5</f>
        <v>0.37163827149008422</v>
      </c>
      <c r="G92" s="17"/>
      <c r="J92" s="1" t="s">
        <v>32</v>
      </c>
      <c r="K92" s="18">
        <f>(SUM(K113:O122)-(SUM(K123:O123)-K94))/(SUM(K123:O123)-K94)/5</f>
        <v>0.18429728714386781</v>
      </c>
      <c r="O92" s="17"/>
      <c r="R92" s="1" t="s">
        <v>32</v>
      </c>
      <c r="S92" s="18">
        <f>(SUM(S113:W122)-(SUM(S123:W123)-S94))/(SUM(S123:W123)-S94)/5</f>
        <v>0.66283764893211183</v>
      </c>
      <c r="W92" s="17"/>
    </row>
    <row r="94" spans="2:23">
      <c r="B94" t="str">
        <f>B112</f>
        <v>Initial Investment</v>
      </c>
      <c r="C94" s="16">
        <f>-C90</f>
        <v>-1550000.25</v>
      </c>
      <c r="J94" t="str">
        <f t="shared" ref="J94:J101" si="0">J112</f>
        <v>Initial Investment</v>
      </c>
      <c r="K94" s="16">
        <f>-K90</f>
        <v>-1162500.1875</v>
      </c>
      <c r="R94" t="str">
        <f t="shared" ref="R94:R101" si="1">R112</f>
        <v>Initial Investment</v>
      </c>
      <c r="S94" s="16">
        <f>-S90</f>
        <v>-1860000.3</v>
      </c>
    </row>
    <row r="95" spans="2:23">
      <c r="B95" t="str">
        <f t="shared" ref="B95:B100" si="2">B113</f>
        <v>Medical Malpractice</v>
      </c>
      <c r="C95" s="6">
        <f t="shared" ref="C95:C101" si="3">SUM(C113:G113)</f>
        <v>266605.13053666509</v>
      </c>
      <c r="J95" t="str">
        <f t="shared" si="0"/>
        <v>Medical Malpractice</v>
      </c>
      <c r="K95" s="6">
        <f t="shared" ref="K95:K101" si="4">SUM(K113:O113)</f>
        <v>163559.54825225746</v>
      </c>
      <c r="R95" t="str">
        <f t="shared" si="1"/>
        <v>Medical Malpractice</v>
      </c>
      <c r="S95" s="6">
        <f t="shared" ref="S95:S101" si="5">SUM(S113:W113)</f>
        <v>348212.23701967421</v>
      </c>
    </row>
    <row r="96" spans="2:23">
      <c r="B96" t="str">
        <f t="shared" si="2"/>
        <v>Workers Compensation</v>
      </c>
      <c r="C96" s="6">
        <f t="shared" si="3"/>
        <v>2547002.21314091</v>
      </c>
      <c r="J96" t="str">
        <f t="shared" si="0"/>
        <v>Workers Compensation</v>
      </c>
      <c r="K96" s="6">
        <f t="shared" si="4"/>
        <v>1564918.0608854371</v>
      </c>
      <c r="R96" t="str">
        <f t="shared" si="1"/>
        <v>Workers Compensation</v>
      </c>
      <c r="S96" s="6">
        <f t="shared" si="5"/>
        <v>3819488.4734773398</v>
      </c>
    </row>
    <row r="97" spans="2:23">
      <c r="B97" t="str">
        <f t="shared" si="2"/>
        <v>Lost &amp; Restricted Days</v>
      </c>
      <c r="C97" s="6">
        <f t="shared" si="3"/>
        <v>1673091.0092889708</v>
      </c>
      <c r="J97" t="str">
        <f t="shared" si="0"/>
        <v>Lost &amp; Restricted Days</v>
      </c>
      <c r="K97" s="6">
        <f t="shared" si="4"/>
        <v>1226933.4068119121</v>
      </c>
      <c r="R97" t="str">
        <f t="shared" si="1"/>
        <v>Lost &amp; Restricted Days</v>
      </c>
      <c r="S97" s="6">
        <f>SUM(S115:W115)</f>
        <v>2650176.1587137301</v>
      </c>
    </row>
    <row r="98" spans="2:23">
      <c r="B98" t="str">
        <f t="shared" si="2"/>
        <v>Employee Turnover</v>
      </c>
      <c r="C98" s="6">
        <f t="shared" si="3"/>
        <v>2373686.1479896577</v>
      </c>
      <c r="J98" t="str">
        <f t="shared" si="0"/>
        <v>Employee Turnover</v>
      </c>
      <c r="K98" s="6">
        <f t="shared" si="4"/>
        <v>1758150.8931114529</v>
      </c>
      <c r="R98" t="str">
        <f t="shared" si="1"/>
        <v>Employee Turnover</v>
      </c>
      <c r="S98" s="6">
        <f t="shared" si="5"/>
        <v>3939560.3345645517</v>
      </c>
    </row>
    <row r="99" spans="2:23">
      <c r="B99" t="str">
        <f t="shared" si="2"/>
        <v>Patient Falls</v>
      </c>
      <c r="C99" s="6">
        <f t="shared" si="3"/>
        <v>914155.7258062812</v>
      </c>
      <c r="J99" t="str">
        <f t="shared" si="0"/>
        <v>Patient Falls</v>
      </c>
      <c r="K99" s="6">
        <f t="shared" si="4"/>
        <v>374438.18529025273</v>
      </c>
      <c r="R99" t="str">
        <f t="shared" si="1"/>
        <v>Patient Falls</v>
      </c>
      <c r="S99" s="6">
        <f t="shared" si="5"/>
        <v>1323180.0107230505</v>
      </c>
    </row>
    <row r="100" spans="2:23">
      <c r="B100" t="str">
        <f t="shared" si="2"/>
        <v>Stage 1-2 HAPIs</v>
      </c>
      <c r="C100" s="6">
        <f t="shared" si="3"/>
        <v>1936743.2833194002</v>
      </c>
      <c r="J100" t="str">
        <f t="shared" si="0"/>
        <v>Stage 1-2 HAPIs</v>
      </c>
      <c r="K100" s="6">
        <f t="shared" si="4"/>
        <v>991612.5610595335</v>
      </c>
      <c r="R100" t="str">
        <f t="shared" si="1"/>
        <v>Stage 1-2 HAPIs</v>
      </c>
      <c r="S100" s="6">
        <f t="shared" si="5"/>
        <v>3346692.3935759235</v>
      </c>
    </row>
    <row r="101" spans="2:23">
      <c r="B101" t="str">
        <f>B119</f>
        <v>Stage 3-4 HAPIs</v>
      </c>
      <c r="C101" s="6">
        <f t="shared" si="3"/>
        <v>1155969.9126322072</v>
      </c>
      <c r="J101" t="str">
        <f t="shared" si="0"/>
        <v>Stage 3-4 HAPIs</v>
      </c>
      <c r="K101" s="6">
        <f t="shared" si="4"/>
        <v>591856.59526769025</v>
      </c>
      <c r="R101" t="str">
        <f t="shared" si="1"/>
        <v>Stage 3-4 HAPIs</v>
      </c>
      <c r="S101" s="6">
        <f t="shared" si="5"/>
        <v>1997516.0090284538</v>
      </c>
    </row>
    <row r="102" spans="2:23">
      <c r="C102" s="6"/>
      <c r="K102" s="6"/>
      <c r="S102" s="6"/>
    </row>
    <row r="103" spans="2:23">
      <c r="C103" s="56"/>
      <c r="K103" s="56"/>
      <c r="S103" s="56"/>
    </row>
    <row r="104" spans="2:23">
      <c r="C104" s="6"/>
      <c r="K104" s="6"/>
      <c r="S104" s="6"/>
    </row>
    <row r="105" spans="2:23">
      <c r="B105" t="s">
        <v>3</v>
      </c>
      <c r="C105" s="6">
        <f>-SUM(C123:G123)</f>
        <v>-6054286.5619284753</v>
      </c>
      <c r="D105" t="s">
        <v>292</v>
      </c>
      <c r="J105" t="s">
        <v>3</v>
      </c>
      <c r="K105" s="6">
        <f>-SUM(K123:O123)</f>
        <v>-5781570.9510307955</v>
      </c>
      <c r="L105" t="s">
        <v>293</v>
      </c>
      <c r="R105" t="s">
        <v>3</v>
      </c>
      <c r="S105" s="6">
        <f>-SUM(S123:W123)</f>
        <v>-6217915.9284670828</v>
      </c>
      <c r="T105" t="s">
        <v>294</v>
      </c>
    </row>
    <row r="106" spans="2:23">
      <c r="C106" s="56">
        <f>SUM(C94:C105)</f>
        <v>3262966.6107856166</v>
      </c>
      <c r="K106" s="56">
        <f>SUM(K94:K105)</f>
        <v>-272601.88785225991</v>
      </c>
      <c r="S106" s="56">
        <f>SUM(S94:S105)</f>
        <v>9346909.3886356391</v>
      </c>
    </row>
    <row r="107" spans="2:23">
      <c r="C107" s="56">
        <f>C106-C91</f>
        <v>0</v>
      </c>
      <c r="K107" s="56">
        <f>K106-K91</f>
        <v>0</v>
      </c>
      <c r="S107" s="56">
        <f>S106-S91</f>
        <v>0</v>
      </c>
    </row>
    <row r="108" spans="2:23">
      <c r="C108" s="7"/>
      <c r="K108" s="7"/>
      <c r="S108" s="7"/>
    </row>
    <row r="109" spans="2:23">
      <c r="C109" s="7"/>
      <c r="K109" s="7"/>
      <c r="S109" s="7"/>
    </row>
    <row r="111" spans="2:23">
      <c r="B111" t="s">
        <v>12</v>
      </c>
      <c r="C111" s="3">
        <f>C87*(1+Inputs!$D$9)^(-(Calculations!C$18))</f>
        <v>-468064.69034151849</v>
      </c>
      <c r="D111" s="3">
        <f>D87*(1+Inputs!$D$9)^(-(Calculations!D$18))</f>
        <v>548246.89452271489</v>
      </c>
      <c r="E111" s="3">
        <f>E87*(1+Inputs!$D$9)^(-(Calculations!E$18))</f>
        <v>1405490.8819468352</v>
      </c>
      <c r="F111" s="3">
        <f>F87*(1+Inputs!$D$9)^(-(Calculations!F$18))</f>
        <v>1717789.8716419837</v>
      </c>
      <c r="G111" s="3">
        <f>G87*(1+Inputs!$D$9)^(-(Calculations!G$18))</f>
        <v>1609503.9030156028</v>
      </c>
      <c r="J111" t="s">
        <v>12</v>
      </c>
      <c r="K111" s="3">
        <f>K87*(1+Inputs!$D$9)^(-(Calculations!C$18))</f>
        <v>-804111.61282151984</v>
      </c>
      <c r="L111" s="3">
        <f>L87*(1+Inputs!$D$9)^(-(Calculations!D$18))</f>
        <v>-128482.24335424216</v>
      </c>
      <c r="M111" s="3">
        <f>M87*(1+Inputs!$D$9)^(-(Calculations!E$18))</f>
        <v>449975.78734898585</v>
      </c>
      <c r="N111" s="3">
        <f>N87*(1+Inputs!$D$9)^(-(Calculations!F$18))</f>
        <v>694343.51718273084</v>
      </c>
      <c r="O111" s="3">
        <f>O87*(1+Inputs!$D$9)^(-(Calculations!G$18))</f>
        <v>678172.85129178548</v>
      </c>
      <c r="R111" t="s">
        <v>12</v>
      </c>
      <c r="S111" s="3">
        <f>S87*(1+Inputs!$D$9)^(-(Calculations!C$18))</f>
        <v>121278.62562625346</v>
      </c>
      <c r="T111" s="3">
        <f>T87*(1+Inputs!$D$9)^(-(Calculations!D$18))</f>
        <v>1587869.1634730056</v>
      </c>
      <c r="U111" s="3">
        <f>U87*(1+Inputs!$D$9)^(-(Calculations!E$18))</f>
        <v>2896046.7800875157</v>
      </c>
      <c r="V111" s="3">
        <f>V87*(1+Inputs!$D$9)^(-(Calculations!F$18))</f>
        <v>3399315.1478791642</v>
      </c>
      <c r="W111" s="3">
        <f>W87*(1+Inputs!$D$9)^(-(Calculations!G$18))</f>
        <v>3202399.9715697034</v>
      </c>
    </row>
    <row r="112" spans="2:23">
      <c r="B112" t="s">
        <v>11</v>
      </c>
      <c r="C112" s="3">
        <f>-C90</f>
        <v>-1550000.25</v>
      </c>
      <c r="J112" t="s">
        <v>11</v>
      </c>
      <c r="K112" s="3">
        <f>-K90</f>
        <v>-1162500.1875</v>
      </c>
      <c r="R112" t="s">
        <v>11</v>
      </c>
      <c r="S112" s="3">
        <f>-S90</f>
        <v>-1860000.3</v>
      </c>
    </row>
    <row r="113" spans="2:23">
      <c r="B113" t="str">
        <f>B22</f>
        <v>Medical Malpractice</v>
      </c>
      <c r="C113" s="3">
        <f>C26*(1+Inputs!$D$9)^(-(C18))</f>
        <v>23907.47282608696</v>
      </c>
      <c r="D113" s="3">
        <f>D26*(1+Inputs!$D$9)^(-(D18))</f>
        <v>43657.124291115317</v>
      </c>
      <c r="E113" s="3">
        <f>E26*(1+Inputs!$D$9)^(-(E18))</f>
        <v>59791.278920440556</v>
      </c>
      <c r="F113" s="3">
        <f>F26*(1+Inputs!$D$9)^(-(F18))</f>
        <v>72789.383033579827</v>
      </c>
      <c r="G113" s="3">
        <f>G26*(1+Inputs!$D$9)^(-(G18))</f>
        <v>66459.871465442426</v>
      </c>
      <c r="J113" t="str">
        <f>J22</f>
        <v>Medical Malpractice</v>
      </c>
      <c r="K113" s="3">
        <f>K26*(1+Inputs!$D$9)^(-(K18))</f>
        <v>15010.72695652175</v>
      </c>
      <c r="L113" s="3">
        <f>L26*(1+Inputs!$D$9)^(-(L18))</f>
        <v>27149.83658223063</v>
      </c>
      <c r="M113" s="3">
        <f>M26*(1+Inputs!$D$9)^(-(M18))</f>
        <v>36829.34353763461</v>
      </c>
      <c r="N113" s="3">
        <f>N26*(1+Inputs!$D$9)^(-(N18))</f>
        <v>44408.715685959389</v>
      </c>
      <c r="O113" s="3">
        <f>O26*(1+Inputs!$D$9)^(-(O18))</f>
        <v>40160.925489911097</v>
      </c>
      <c r="R113" t="str">
        <f>R22</f>
        <v>Medical Malpractice</v>
      </c>
      <c r="S113" s="3">
        <f>S26*(1+Inputs!$D$9)^(-(S18))</f>
        <v>35085.6313043478</v>
      </c>
      <c r="T113" s="3">
        <f>T26*(1+Inputs!$D$9)^(-(T18))</f>
        <v>61018.489224952784</v>
      </c>
      <c r="U113" s="3">
        <f>U26*(1+Inputs!$D$9)^(-(U18))</f>
        <v>79589.333771677513</v>
      </c>
      <c r="V113" s="3">
        <f>V26*(1+Inputs!$D$9)^(-(V18))</f>
        <v>92277.488430930476</v>
      </c>
      <c r="W113" s="3">
        <f>W26*(1+Inputs!$D$9)^(-(W18))</f>
        <v>80241.294287765631</v>
      </c>
    </row>
    <row r="114" spans="2:23">
      <c r="B114" t="str">
        <f>B28</f>
        <v>Workers Compensation</v>
      </c>
      <c r="C114" s="3">
        <f>C32*(1+Inputs!$D$9)^(-(C18))</f>
        <v>262701.78260869574</v>
      </c>
      <c r="D114" s="3">
        <f>D32*(1+Inputs!$D$9)^(-(D18))</f>
        <v>479716.29867674859</v>
      </c>
      <c r="E114" s="3">
        <f>E32*(1+Inputs!$D$9)^(-(E18))</f>
        <v>657002.75688337325</v>
      </c>
      <c r="F114" s="3">
        <f>F32*(1+Inputs!$D$9)^(-(F18))</f>
        <v>599872.08237177564</v>
      </c>
      <c r="G114" s="3">
        <f>G32*(1+Inputs!$D$9)^(-(G18))</f>
        <v>547709.29260031681</v>
      </c>
      <c r="J114" t="str">
        <f>J28</f>
        <v>Workers Compensation</v>
      </c>
      <c r="K114" s="3">
        <f>K32*(1+Inputs!$D$9)^(-(K18))</f>
        <v>164941.93085217386</v>
      </c>
      <c r="L114" s="3">
        <f>L32*(1+Inputs!$D$9)^(-(L18))</f>
        <v>298329.75319349713</v>
      </c>
      <c r="M114" s="3">
        <f>M32*(1+Inputs!$D$9)^(-(M18))</f>
        <v>404690.79563639633</v>
      </c>
      <c r="N114" s="3">
        <f>N32*(1+Inputs!$D$9)^(-(N18))</f>
        <v>365981.24127117591</v>
      </c>
      <c r="O114" s="3">
        <f>O32*(1+Inputs!$D$9)^(-(O18))</f>
        <v>330974.3399321938</v>
      </c>
      <c r="R114" t="str">
        <f>R28</f>
        <v>Workers Compensation</v>
      </c>
      <c r="S114" s="3">
        <f>S32*(1+Inputs!$D$9)^(-(S18))</f>
        <v>385530.4136347826</v>
      </c>
      <c r="T114" s="3">
        <f>T32*(1+Inputs!$D$9)^(-(T18))</f>
        <v>710716.93643977342</v>
      </c>
      <c r="U114" s="3">
        <f>U32*(1+Inputs!$D$9)^(-(U18))</f>
        <v>982643.41646890424</v>
      </c>
      <c r="V114" s="3">
        <f>V32*(1+Inputs!$D$9)^(-(V18))</f>
        <v>905740.88822351198</v>
      </c>
      <c r="W114" s="3">
        <f>W32*(1+Inputs!$D$9)^(-(W18))</f>
        <v>834856.81871036754</v>
      </c>
    </row>
    <row r="115" spans="2:23">
      <c r="B115" t="str">
        <f>B34</f>
        <v>Lost &amp; Restricted Days</v>
      </c>
      <c r="C115" s="3">
        <f>C38*(1+Inputs!$D$9)^(-(C18))</f>
        <v>172565.21739130435</v>
      </c>
      <c r="D115" s="3">
        <f>D38*(1+Inputs!$D$9)^(-(D18))</f>
        <v>315119.09262759931</v>
      </c>
      <c r="E115" s="3">
        <f>E38*(1+Inputs!$D$9)^(-(E18))</f>
        <v>431576.14859866863</v>
      </c>
      <c r="F115" s="3">
        <f>F38*(1+Inputs!$D$9)^(-(F18))</f>
        <v>394047.78785095841</v>
      </c>
      <c r="G115" s="3">
        <f>G38*(1+Inputs!$D$9)^(-(G18))</f>
        <v>359782.76282044017</v>
      </c>
      <c r="J115" t="str">
        <f>J34</f>
        <v>Lost &amp; Restricted Days</v>
      </c>
      <c r="K115" s="3">
        <f>K38*(1+Inputs!$D$9)^(-(K18))</f>
        <v>126547.82608695653</v>
      </c>
      <c r="L115" s="3">
        <f>L38*(1+Inputs!$D$9)^(-(L18))</f>
        <v>231087.3345935728</v>
      </c>
      <c r="M115" s="3">
        <f>M38*(1+Inputs!$D$9)^(-(M18))</f>
        <v>316489.17563902366</v>
      </c>
      <c r="N115" s="3">
        <f>N38*(1+Inputs!$D$9)^(-(N18))</f>
        <v>288968.37775736954</v>
      </c>
      <c r="O115" s="3">
        <f>O38*(1+Inputs!$D$9)^(-(O18))</f>
        <v>263840.69273498951</v>
      </c>
      <c r="R115" t="str">
        <f>R34</f>
        <v>Lost &amp; Restricted Days</v>
      </c>
      <c r="S115" s="3">
        <f>S38*(1+Inputs!$D$9)^(-(S18))</f>
        <v>273343.30434782617</v>
      </c>
      <c r="T115" s="3">
        <f>T38*(1+Inputs!$D$9)^(-(T18))</f>
        <v>499148.64272211725</v>
      </c>
      <c r="U115" s="3">
        <f>U38*(1+Inputs!$D$9)^(-(U18))</f>
        <v>683616.61938029109</v>
      </c>
      <c r="V115" s="3">
        <f>V38*(1+Inputs!$D$9)^(-(V18))</f>
        <v>624171.69595591817</v>
      </c>
      <c r="W115" s="3">
        <f>W38*(1+Inputs!$D$9)^(-(W18))</f>
        <v>569895.89630757738</v>
      </c>
    </row>
    <row r="116" spans="2:23">
      <c r="B116" t="str">
        <f>B40</f>
        <v>Employee Turnover</v>
      </c>
      <c r="C116" s="3">
        <f>C47*(1+Inputs!$D$9)^(-(C18))</f>
        <v>207567.39130434784</v>
      </c>
      <c r="D116" s="3">
        <f>D47*(1+Inputs!$D$9)^(-(D18))</f>
        <v>382970.86162570893</v>
      </c>
      <c r="E116" s="3">
        <f>E47*(1+Inputs!$D$9)^(-(E18))</f>
        <v>529948.41795484512</v>
      </c>
      <c r="F116" s="3">
        <f>F47*(1+Inputs!$D$9)^(-(F18))</f>
        <v>651851.91490816837</v>
      </c>
      <c r="G116" s="3">
        <f>G47*(1+Inputs!$D$9)^(-(G18))</f>
        <v>601347.56219658768</v>
      </c>
      <c r="J116" t="str">
        <f>J40</f>
        <v>Employee Turnover</v>
      </c>
      <c r="K116" s="3">
        <f>K47*(1+Inputs!$D$9)^(-(K18))</f>
        <v>139777.82608695654</v>
      </c>
      <c r="L116" s="3">
        <f>L47*(1+Inputs!$D$9)^(-(L18))</f>
        <v>268008.78827977326</v>
      </c>
      <c r="M116" s="3">
        <f>M47*(1+Inputs!$D$9)^(-(M18))</f>
        <v>385408.29010232631</v>
      </c>
      <c r="N116" s="3">
        <f>N47*(1+Inputs!$D$9)^(-(N18))</f>
        <v>492652.33604384295</v>
      </c>
      <c r="O116" s="3">
        <f>O47*(1+Inputs!$D$9)^(-(O18))</f>
        <v>472303.65259855374</v>
      </c>
      <c r="R116" t="str">
        <f>R40</f>
        <v>Employee Turnover</v>
      </c>
      <c r="S116" s="3">
        <f>S47*(1+Inputs!$D$9)^(-(S18))</f>
        <v>313205.86956521741</v>
      </c>
      <c r="T116" s="3">
        <f>T47*(1+Inputs!$D$9)^(-(T18))</f>
        <v>600538.21077504731</v>
      </c>
      <c r="U116" s="3">
        <f>U47*(1+Inputs!$D$9)^(-(U18))</f>
        <v>863600.05745150871</v>
      </c>
      <c r="V116" s="3">
        <f>V47*(1+Inputs!$D$9)^(-(V18))</f>
        <v>1103906.160394537</v>
      </c>
      <c r="W116" s="3">
        <f>W47*(1+Inputs!$D$9)^(-(W18))</f>
        <v>1058310.0363782409</v>
      </c>
    </row>
    <row r="117" spans="2:23">
      <c r="B117" t="str">
        <f>B49</f>
        <v>Patient Falls</v>
      </c>
      <c r="C117" s="3">
        <f>C56*(1+Inputs!$D$9)^(-(C18))</f>
        <v>86011.480567777005</v>
      </c>
      <c r="D117" s="3">
        <f>D56*(1+Inputs!$D$9)^(-(D18))</f>
        <v>163455.76891545244</v>
      </c>
      <c r="E117" s="3">
        <f>E56*(1+Inputs!$D$9)^(-(E18))</f>
        <v>232972.86782566388</v>
      </c>
      <c r="F117" s="3">
        <f>F56*(1+Inputs!$D$9)^(-(F18))</f>
        <v>221370.21125263843</v>
      </c>
      <c r="G117" s="3">
        <f>G56*(1+Inputs!$D$9)^(-(G18))</f>
        <v>210345.39724474939</v>
      </c>
      <c r="J117" t="str">
        <f>J49</f>
        <v>Patient Falls</v>
      </c>
      <c r="K117" s="3">
        <f>K56*(1+Inputs!$D$9)^(-(K18))</f>
        <v>35230.302440561456</v>
      </c>
      <c r="L117" s="3">
        <f>L56*(1+Inputs!$D$9)^(-(L18))</f>
        <v>66951.482947769327</v>
      </c>
      <c r="M117" s="3">
        <f>M56*(1+Inputs!$D$9)^(-(M18))</f>
        <v>95425.686661391956</v>
      </c>
      <c r="N117" s="3">
        <f>N56*(1+Inputs!$D$9)^(-(N18))</f>
        <v>90673.238529080656</v>
      </c>
      <c r="O117" s="3">
        <f>O56*(1+Inputs!$D$9)^(-(O18))</f>
        <v>86157.474711449337</v>
      </c>
      <c r="R117" t="str">
        <f>R49</f>
        <v>Patient Falls</v>
      </c>
      <c r="S117" s="3">
        <f>S56*(1+Inputs!$D$9)^(-(S18))</f>
        <v>178353.40610534238</v>
      </c>
      <c r="T117" s="3">
        <f>T56*(1+Inputs!$D$9)^(-(T18))</f>
        <v>225961.25494872165</v>
      </c>
      <c r="U117" s="3">
        <f>U56*(1+Inputs!$D$9)^(-(U18))</f>
        <v>322061.69248219754</v>
      </c>
      <c r="V117" s="3">
        <f>V56*(1+Inputs!$D$9)^(-(V18))</f>
        <v>306022.1800356473</v>
      </c>
      <c r="W117" s="3">
        <f>W56*(1+Inputs!$D$9)^(-(W18))</f>
        <v>290781.47715114156</v>
      </c>
    </row>
    <row r="118" spans="2:23">
      <c r="B118" t="str">
        <f>B58</f>
        <v>Stage 1-2 HAPIs</v>
      </c>
      <c r="C118" s="3">
        <f>C62*(1+Inputs!$D$9)^(-(C18))</f>
        <v>169358.84775048934</v>
      </c>
      <c r="D118" s="3">
        <f>D62*(1+Inputs!$D$9)^(-(D18))</f>
        <v>312474.43752781529</v>
      </c>
      <c r="E118" s="3">
        <f>E62*(1+Inputs!$D$9)^(-(E18))</f>
        <v>432396.69231294718</v>
      </c>
      <c r="F118" s="3">
        <f>F62*(1+Inputs!$D$9)^(-(F18))</f>
        <v>531860.46478238306</v>
      </c>
      <c r="G118" s="3">
        <f>G62*(1+Inputs!$D$9)^(-(G18))</f>
        <v>490652.84094576549</v>
      </c>
      <c r="J118" t="str">
        <f>J58</f>
        <v>Stage 1-2 HAPIs</v>
      </c>
      <c r="K118" s="3">
        <f>K62*(1+Inputs!$D$9)^(-(K18))</f>
        <v>86711.730048250334</v>
      </c>
      <c r="L118" s="3">
        <f>L62*(1+Inputs!$D$9)^(-(L18))</f>
        <v>159986.91201424177</v>
      </c>
      <c r="M118" s="3">
        <f>M62*(1+Inputs!$D$9)^(-(M18))</f>
        <v>221387.10646422894</v>
      </c>
      <c r="N118" s="3">
        <f>N62*(1+Inputs!$D$9)^(-(N18))</f>
        <v>272312.5579685804</v>
      </c>
      <c r="O118" s="3">
        <f>O62*(1+Inputs!$D$9)^(-(O18))</f>
        <v>251214.25456423208</v>
      </c>
      <c r="R118" t="str">
        <f>R58</f>
        <v>Stage 1-2 HAPIs</v>
      </c>
      <c r="S118" s="3">
        <f>S62*(1+Inputs!$D$9)^(-(S18))</f>
        <v>292652.08891284536</v>
      </c>
      <c r="T118" s="3">
        <f>T62*(1+Inputs!$D$9)^(-(T18))</f>
        <v>539955.82804806496</v>
      </c>
      <c r="U118" s="3">
        <f>U62*(1+Inputs!$D$9)^(-(U18))</f>
        <v>747181.48431677266</v>
      </c>
      <c r="V118" s="3">
        <f>V62*(1+Inputs!$D$9)^(-(V18))</f>
        <v>919054.88314395805</v>
      </c>
      <c r="W118" s="3">
        <f>W62*(1+Inputs!$D$9)^(-(W18))</f>
        <v>847848.10915428284</v>
      </c>
    </row>
    <row r="119" spans="2:23">
      <c r="B119" t="str">
        <f>B64</f>
        <v>Stage 3-4 HAPIs</v>
      </c>
      <c r="C119" s="3">
        <f>C68*(1+Inputs!$D$9)^(-(C18))</f>
        <v>101083.98677499783</v>
      </c>
      <c r="D119" s="3">
        <f>D68*(1+Inputs!$D$9)^(-(D18))</f>
        <v>186504.35055581774</v>
      </c>
      <c r="E119" s="3">
        <f>E68*(1+Inputs!$D$9)^(-(E18))</f>
        <v>258081.47674521786</v>
      </c>
      <c r="F119" s="3">
        <f>F68*(1+Inputs!$D$9)^(-(F18))</f>
        <v>317447.69701913238</v>
      </c>
      <c r="G119" s="3">
        <f>G68*(1+Inputs!$D$9)^(-(G18))</f>
        <v>292852.40153704141</v>
      </c>
      <c r="J119" t="str">
        <f>J64</f>
        <v>Stage 3-4 HAPIs</v>
      </c>
      <c r="K119" s="3">
        <f>K68*(1+Inputs!$D$9)^(-(K18))</f>
        <v>51755.001228798952</v>
      </c>
      <c r="L119" s="3">
        <f>L68*(1+Inputs!$D$9)^(-(L18))</f>
        <v>95490.227484578703</v>
      </c>
      <c r="M119" s="3">
        <f>M68*(1+Inputs!$D$9)^(-(M18))</f>
        <v>132137.71609355157</v>
      </c>
      <c r="N119" s="3">
        <f>N68*(1+Inputs!$D$9)^(-(N18))</f>
        <v>162533.22087379577</v>
      </c>
      <c r="O119" s="3">
        <f>O68*(1+Inputs!$D$9)^(-(O18))</f>
        <v>149940.42958696518</v>
      </c>
      <c r="R119" t="str">
        <f>R64</f>
        <v>Stage 3-4 HAPIs</v>
      </c>
      <c r="S119" s="3">
        <f>S68*(1+Inputs!$D$9)^(-(S18))</f>
        <v>174673.12914719625</v>
      </c>
      <c r="T119" s="3">
        <f>T68*(1+Inputs!$D$9)^(-(T18))</f>
        <v>322279.51776045299</v>
      </c>
      <c r="U119" s="3">
        <f>U68*(1+Inputs!$D$9)^(-(U18))</f>
        <v>445964.79181573662</v>
      </c>
      <c r="V119" s="3">
        <f>V68*(1+Inputs!$D$9)^(-(V18))</f>
        <v>548549.62044906069</v>
      </c>
      <c r="W119" s="3">
        <f>W68*(1+Inputs!$D$9)^(-(W18))</f>
        <v>506048.94985600736</v>
      </c>
    </row>
    <row r="120" spans="2:23">
      <c r="C120" s="3"/>
      <c r="D120" s="3"/>
      <c r="E120" s="3"/>
      <c r="F120" s="3"/>
      <c r="G120" s="3"/>
      <c r="K120" s="3"/>
      <c r="L120" s="3"/>
      <c r="M120" s="3"/>
      <c r="N120" s="3"/>
      <c r="O120" s="3"/>
      <c r="S120" s="3"/>
      <c r="T120" s="3"/>
      <c r="U120" s="3"/>
      <c r="V120" s="3"/>
      <c r="W120" s="3"/>
    </row>
    <row r="121" spans="2:23">
      <c r="B121" t="s">
        <v>107</v>
      </c>
      <c r="C121" s="3">
        <f>SUM(C113:C119)</f>
        <v>1023196.179223699</v>
      </c>
      <c r="D121" s="3">
        <f>SUM(D113:D119)</f>
        <v>1883897.9342202579</v>
      </c>
      <c r="E121" s="3">
        <f>SUM(E113:E119)</f>
        <v>2601769.6392411566</v>
      </c>
      <c r="F121" s="3">
        <f>SUM(F113:F119)</f>
        <v>2789239.5412186361</v>
      </c>
      <c r="G121" s="3">
        <f>SUM(G113:G119)</f>
        <v>2569150.1288103433</v>
      </c>
      <c r="J121" t="s">
        <v>107</v>
      </c>
      <c r="K121" s="3">
        <f>SUM(K113:K119)</f>
        <v>619975.34370021941</v>
      </c>
      <c r="L121" s="3">
        <f>SUM(L113:L119)</f>
        <v>1147004.3350956638</v>
      </c>
      <c r="M121" s="3">
        <f>SUM(M113:M119)</f>
        <v>1592368.1141345536</v>
      </c>
      <c r="N121" s="3">
        <f>SUM(N113:N119)</f>
        <v>1717529.6881298048</v>
      </c>
      <c r="O121" s="3">
        <f>SUM(O113:O119)</f>
        <v>1594591.7696182947</v>
      </c>
      <c r="R121" t="s">
        <v>107</v>
      </c>
      <c r="S121" s="3">
        <f>SUM(S113:S119)</f>
        <v>1652843.8430175579</v>
      </c>
      <c r="T121" s="3">
        <f>SUM(T113:T119)</f>
        <v>2959618.8799191299</v>
      </c>
      <c r="U121" s="3">
        <f>SUM(U113:U119)</f>
        <v>4124657.3956870888</v>
      </c>
      <c r="V121" s="3">
        <f>SUM(V113:V119)</f>
        <v>4499722.916633564</v>
      </c>
      <c r="W121" s="3">
        <f>SUM(W113:W119)</f>
        <v>4187982.5818453832</v>
      </c>
    </row>
    <row r="122" spans="2:23">
      <c r="C122" s="3"/>
      <c r="D122" s="3"/>
      <c r="E122" s="3"/>
      <c r="F122" s="3"/>
      <c r="G122" s="3"/>
      <c r="K122" s="3"/>
      <c r="L122" s="3"/>
      <c r="M122" s="3"/>
      <c r="N122" s="3"/>
      <c r="O122" s="3"/>
      <c r="S122" s="3"/>
      <c r="T122" s="3"/>
      <c r="U122" s="3"/>
      <c r="V122" s="3"/>
      <c r="W122" s="3"/>
    </row>
    <row r="123" spans="2:23">
      <c r="B123" t="s">
        <v>3</v>
      </c>
      <c r="C123" s="3">
        <f>SUM(C72:C72)*(1+Inputs!$D$9)^(-(Calculations!C$18))</f>
        <v>1491260.8695652175</v>
      </c>
      <c r="D123" s="3">
        <f>SUM(D72:D72)*(1+Inputs!$D$9)^(-(Calculations!D$18))</f>
        <v>1335651.0396975428</v>
      </c>
      <c r="E123" s="3">
        <f>SUM(E72:E72)*(1+Inputs!$D$9)^(-(Calculations!E$18))</f>
        <v>1196278.757294321</v>
      </c>
      <c r="F123" s="3">
        <f>SUM(F72:F72)*(1+Inputs!$D$9)^(-(Calculations!F$18))</f>
        <v>1071449.6695766528</v>
      </c>
      <c r="G123" s="3">
        <f>SUM(G72:G72)*(1+Inputs!$D$9)^(-(Calculations!G$18))</f>
        <v>959646.22579474107</v>
      </c>
      <c r="J123" t="s">
        <v>3</v>
      </c>
      <c r="K123" s="3">
        <f>SUM(K72:K72)*(1+Inputs!$D$9)^(-(Calculations!C$18))</f>
        <v>1424086.9565217393</v>
      </c>
      <c r="L123" s="3">
        <f>SUM(L72:L72)*(1+Inputs!$D$9)^(-(Calculations!D$18))</f>
        <v>1275486.5784499056</v>
      </c>
      <c r="M123" s="3">
        <f>SUM(M72:M72)*(1+Inputs!$D$9)^(-(Calculations!E$18))</f>
        <v>1142392.3267855677</v>
      </c>
      <c r="N123" s="3">
        <f>SUM(N72:N72)*(1+Inputs!$D$9)^(-(Calculations!F$18))</f>
        <v>1023186.1709470738</v>
      </c>
      <c r="O123" s="3">
        <f>SUM(O72:O72)*(1+Inputs!$D$9)^(-(Calculations!G$18))</f>
        <v>916418.91832650953</v>
      </c>
      <c r="R123" t="s">
        <v>3</v>
      </c>
      <c r="S123" s="3">
        <f>SUM(S72:S72)*(1+Inputs!$D$9)^(-(Calculations!C$18))</f>
        <v>1531565.2173913044</v>
      </c>
      <c r="T123" s="3">
        <f>SUM(T72:T72)*(1+Inputs!$D$9)^(-(Calculations!D$18))</f>
        <v>1371749.7164461249</v>
      </c>
      <c r="U123" s="3">
        <f>SUM(U72:U72)*(1+Inputs!$D$9)^(-(Calculations!E$18))</f>
        <v>1228610.6155995729</v>
      </c>
      <c r="V123" s="3">
        <f>SUM(V72:V72)*(1+Inputs!$D$9)^(-(Calculations!F$18))</f>
        <v>1100407.7687544001</v>
      </c>
      <c r="W123" s="3">
        <f>SUM(W72:W72)*(1+Inputs!$D$9)^(-(Calculations!G$18))</f>
        <v>985582.61027568008</v>
      </c>
    </row>
    <row r="124" spans="2:23">
      <c r="C124" s="3"/>
      <c r="K124" s="3"/>
      <c r="S124" s="3"/>
    </row>
    <row r="125" spans="2:23">
      <c r="B125" s="83" t="s">
        <v>115</v>
      </c>
      <c r="C125" s="84">
        <f>SUM(C113:C119)-C123</f>
        <v>-468064.69034151849</v>
      </c>
      <c r="D125" s="84">
        <f>SUM(D112:D119)-D123</f>
        <v>548246.89452271513</v>
      </c>
      <c r="E125" s="84">
        <f>SUM(E112:E119)-E123</f>
        <v>1405490.8819468357</v>
      </c>
      <c r="F125" s="84">
        <f>SUM(F112:F119)-F123</f>
        <v>1717789.8716419833</v>
      </c>
      <c r="G125" s="85">
        <f>SUM(G112:G119)-G123</f>
        <v>1609503.9030156024</v>
      </c>
      <c r="J125" s="83" t="s">
        <v>115</v>
      </c>
      <c r="K125" s="84">
        <f>SUM(K113:K119)-K123</f>
        <v>-804111.61282151984</v>
      </c>
      <c r="L125" s="84">
        <f>SUM(L112:L119)-L123</f>
        <v>-128482.24335424183</v>
      </c>
      <c r="M125" s="84">
        <f>SUM(M112:M119)-M123</f>
        <v>449975.7873489859</v>
      </c>
      <c r="N125" s="84">
        <f>SUM(N112:N119)-N123</f>
        <v>694343.51718273095</v>
      </c>
      <c r="O125" s="85">
        <f>SUM(O112:O119)-O123</f>
        <v>678172.85129178513</v>
      </c>
      <c r="R125" s="83" t="s">
        <v>115</v>
      </c>
      <c r="S125" s="84">
        <f>SUM(S113:S119)-S123</f>
        <v>121278.62562625343</v>
      </c>
      <c r="T125" s="84">
        <f>SUM(T112:T119)-T123</f>
        <v>1587869.1634730049</v>
      </c>
      <c r="U125" s="84">
        <f>SUM(U112:U119)-U123</f>
        <v>2896046.7800875157</v>
      </c>
      <c r="V125" s="84">
        <f>SUM(V112:V119)-V123</f>
        <v>3399315.1478791637</v>
      </c>
      <c r="W125" s="85">
        <f>SUM(W112:W119)-W123</f>
        <v>3202399.971569703</v>
      </c>
    </row>
    <row r="126" spans="2:23">
      <c r="C126" t="s">
        <v>39</v>
      </c>
      <c r="K126" s="3"/>
      <c r="L126" s="3"/>
      <c r="M126" s="3"/>
      <c r="N126" s="3"/>
      <c r="O126" s="3"/>
      <c r="S126" s="3"/>
      <c r="T126" s="3"/>
      <c r="U126" s="3"/>
      <c r="V126" s="3"/>
      <c r="W126" s="3"/>
    </row>
    <row r="127" spans="2:23">
      <c r="G127" s="3"/>
      <c r="K127" s="3"/>
      <c r="L127" s="3"/>
      <c r="M127" s="3"/>
      <c r="N127" s="3"/>
      <c r="O127" s="3"/>
      <c r="S127" s="3"/>
      <c r="T127" s="3"/>
      <c r="U127" s="3"/>
      <c r="V127" s="3"/>
      <c r="W127" s="3"/>
    </row>
    <row r="128" spans="2:23">
      <c r="J128" t="s">
        <v>3</v>
      </c>
      <c r="K128" s="3">
        <f>SUM(K82:K82)*(1+Inputs!$D$9)^(-(Calculations!K$18))</f>
        <v>86711.730048250334</v>
      </c>
      <c r="L128" s="3">
        <f>SUM(L82:L82)*(1+Inputs!$D$9)^(-(Calculations!L$18))</f>
        <v>159986.91201424177</v>
      </c>
      <c r="M128" s="3">
        <f>SUM(M82:M82)*(1+Inputs!$D$9)^(-(Calculations!M$18))</f>
        <v>221387.10646422894</v>
      </c>
      <c r="N128" s="3">
        <f>SUM(N82:N82)*(1+Inputs!$D$9)^(-(Calculations!N$18))</f>
        <v>272312.5579685804</v>
      </c>
      <c r="O128" s="3">
        <f>SUM(O82:O82)*(1+Inputs!$D$9)^(-(Calculations!O$18))</f>
        <v>251214.25456423208</v>
      </c>
      <c r="R128" t="s">
        <v>3</v>
      </c>
      <c r="S128" s="3">
        <f>SUM(S82:S82)*(1+Inputs!$D$9)^(-(Calculations!K$18))</f>
        <v>292652.08891284536</v>
      </c>
      <c r="T128" s="3">
        <f>SUM(T82:T82)*(1+Inputs!$D$9)^(-(Calculations!L$18))</f>
        <v>539955.82804806496</v>
      </c>
      <c r="U128" s="3">
        <f>SUM(U82:U82)*(1+Inputs!$D$9)^(-(Calculations!M$18))</f>
        <v>747181.48431677266</v>
      </c>
      <c r="V128" s="3">
        <f>SUM(V82:V82)*(1+Inputs!$D$9)^(-(Calculations!N$18))</f>
        <v>919054.88314395805</v>
      </c>
      <c r="W128" s="3">
        <f>SUM(W82:W82)*(1+Inputs!$D$9)^(-(Calculations!O$18))</f>
        <v>847848.10915428284</v>
      </c>
    </row>
    <row r="130" spans="2:8">
      <c r="B130" s="56"/>
      <c r="C130" s="3"/>
      <c r="D130" s="3"/>
      <c r="E130" s="3"/>
      <c r="F130" s="3"/>
      <c r="G130" s="3"/>
      <c r="H130" s="68"/>
    </row>
    <row r="134" spans="2:8">
      <c r="C134" s="31">
        <f>(D84+C84)/24</f>
        <v>152838.77600473099</v>
      </c>
      <c r="D134" t="s">
        <v>95</v>
      </c>
    </row>
    <row r="135" spans="2:8">
      <c r="C135" s="74">
        <f>(C105+C94)/5/12</f>
        <v>-126738.11353214126</v>
      </c>
      <c r="D135" t="s">
        <v>105</v>
      </c>
    </row>
    <row r="136" spans="2:8">
      <c r="C136" s="65"/>
    </row>
    <row r="137" spans="2:8">
      <c r="B137" t="s">
        <v>303</v>
      </c>
    </row>
    <row r="138" spans="2:8">
      <c r="C138" t="s">
        <v>187</v>
      </c>
      <c r="D138" t="s">
        <v>188</v>
      </c>
      <c r="E138" t="s">
        <v>189</v>
      </c>
      <c r="F138" t="s">
        <v>190</v>
      </c>
      <c r="G138" t="s">
        <v>191</v>
      </c>
      <c r="H138" t="s">
        <v>192</v>
      </c>
    </row>
    <row r="139" spans="2:8">
      <c r="C139" s="56">
        <f>C94</f>
        <v>-1550000.25</v>
      </c>
      <c r="D139" s="3">
        <f>C121-C123</f>
        <v>-468064.69034151849</v>
      </c>
      <c r="E139" s="3">
        <f>D121</f>
        <v>1883897.9342202579</v>
      </c>
      <c r="F139" s="3">
        <f>E121</f>
        <v>2601769.6392411566</v>
      </c>
      <c r="G139" s="3">
        <f>F121</f>
        <v>2789239.5412186361</v>
      </c>
      <c r="H139" s="3">
        <f>G121</f>
        <v>2569150.1288103433</v>
      </c>
    </row>
    <row r="141" spans="2:8">
      <c r="C141" s="68">
        <f>IRR(C139:H139)</f>
        <v>0.65737595004803229</v>
      </c>
      <c r="D141" s="1" t="s">
        <v>374</v>
      </c>
    </row>
  </sheetData>
  <pageMargins left="0.75" right="0.75" top="1" bottom="1" header="0.5" footer="0.5"/>
  <pageSetup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156</vt:i4>
      </vt:variant>
    </vt:vector>
  </HeadingPairs>
  <TitlesOfParts>
    <vt:vector size="161" baseType="lpstr">
      <vt:lpstr>Disclaimer</vt:lpstr>
      <vt:lpstr>Sheet1</vt:lpstr>
      <vt:lpstr>Tornado</vt:lpstr>
      <vt:lpstr>Inputs</vt:lpstr>
      <vt:lpstr>Calculations</vt:lpstr>
      <vt:lpstr>Average_Cost_to_Recruit___Train_a_OR_Nurse</vt:lpstr>
      <vt:lpstr>BEST</vt:lpstr>
      <vt:lpstr>Change_Period</vt:lpstr>
      <vt:lpstr>Change_year</vt:lpstr>
      <vt:lpstr>Costs_A</vt:lpstr>
      <vt:lpstr>Costs_B</vt:lpstr>
      <vt:lpstr>Costs_C</vt:lpstr>
      <vt:lpstr>Costs_Ref_A</vt:lpstr>
      <vt:lpstr>Costs_Ref_B</vt:lpstr>
      <vt:lpstr>Costs_Ref_C</vt:lpstr>
      <vt:lpstr>CostsGrow_A</vt:lpstr>
      <vt:lpstr>CostsGrow_B</vt:lpstr>
      <vt:lpstr>CostsGrow_C</vt:lpstr>
      <vt:lpstr>Discount_Rate</vt:lpstr>
      <vt:lpstr>Employee_Injuries__baseline</vt:lpstr>
      <vt:lpstr>Calculations!Employee_Injury_Reduction_Rate</vt:lpstr>
      <vt:lpstr>Calculations!Employee_Safety_Costs__w__Program</vt:lpstr>
      <vt:lpstr>Calculations!Employee_Safety_Savings</vt:lpstr>
      <vt:lpstr>FallCost_A</vt:lpstr>
      <vt:lpstr>FallCost_C</vt:lpstr>
      <vt:lpstr>FallGrowth_A</vt:lpstr>
      <vt:lpstr>FallGrowth_C</vt:lpstr>
      <vt:lpstr>FallHarm_C</vt:lpstr>
      <vt:lpstr>FallPeriod_A</vt:lpstr>
      <vt:lpstr>FallPeriod_C</vt:lpstr>
      <vt:lpstr>FallRate_A</vt:lpstr>
      <vt:lpstr>FallRate_C</vt:lpstr>
      <vt:lpstr>FallReduction_A</vt:lpstr>
      <vt:lpstr>FallReduction_C</vt:lpstr>
      <vt:lpstr>FallRef_A</vt:lpstr>
      <vt:lpstr>FallRef_C</vt:lpstr>
      <vt:lpstr>FallsHarm_A</vt:lpstr>
      <vt:lpstr>FallYr_A</vt:lpstr>
      <vt:lpstr>FallYr_C</vt:lpstr>
      <vt:lpstr>Final_Patient_Patient_Injury_Reduction_Rate</vt:lpstr>
      <vt:lpstr>Growth_rate</vt:lpstr>
      <vt:lpstr>LR_ChangeP_C</vt:lpstr>
      <vt:lpstr>LR_ChangePeriod</vt:lpstr>
      <vt:lpstr>LR_ChangePeriod_C</vt:lpstr>
      <vt:lpstr>LR_ChangePeriod_Worst</vt:lpstr>
      <vt:lpstr>LR_ChangeYear</vt:lpstr>
      <vt:lpstr>LR_ChangeYear_C</vt:lpstr>
      <vt:lpstr>LR_ChangeYear_Worst</vt:lpstr>
      <vt:lpstr>LR_Cost_C</vt:lpstr>
      <vt:lpstr>LR_Costs_Base</vt:lpstr>
      <vt:lpstr>LR_Costs_Worst</vt:lpstr>
      <vt:lpstr>LR_Growth_Base</vt:lpstr>
      <vt:lpstr>LR_Growth_C</vt:lpstr>
      <vt:lpstr>LR_Growth_Worst</vt:lpstr>
      <vt:lpstr>LR_Reduction_Base</vt:lpstr>
      <vt:lpstr>LR_Reduction_Best</vt:lpstr>
      <vt:lpstr>LR_Reduction_C</vt:lpstr>
      <vt:lpstr>LR_Reduction_Worst</vt:lpstr>
      <vt:lpstr>LR_Ref_C</vt:lpstr>
      <vt:lpstr>LR_Ref_Worst</vt:lpstr>
      <vt:lpstr>LR_RefYear</vt:lpstr>
      <vt:lpstr>MedMal_Change_Period</vt:lpstr>
      <vt:lpstr>MedMal_Change_Year</vt:lpstr>
      <vt:lpstr>MedMal_Cost</vt:lpstr>
      <vt:lpstr>MedMal_Growth_Rate</vt:lpstr>
      <vt:lpstr>MedMal_Reduction_Rate</vt:lpstr>
      <vt:lpstr>MedMal_Ref_Year</vt:lpstr>
      <vt:lpstr>NPV_Employee_Safety</vt:lpstr>
      <vt:lpstr>NPV_MedMal</vt:lpstr>
      <vt:lpstr>NPV_OngoingCosts_A</vt:lpstr>
      <vt:lpstr>NPV_OngoingCosts_B</vt:lpstr>
      <vt:lpstr>NPV_OngoingCosts_C</vt:lpstr>
      <vt:lpstr>NPV_Patient_Safety</vt:lpstr>
      <vt:lpstr>NPV_Productivity</vt:lpstr>
      <vt:lpstr>NPV_Retention</vt:lpstr>
      <vt:lpstr>Number_of_Employees_Handling_Patients</vt:lpstr>
      <vt:lpstr>Number_of_OR_Nurses_Quit__baseline</vt:lpstr>
      <vt:lpstr>PI_ChangePeriod_A</vt:lpstr>
      <vt:lpstr>PI_ChangePeriod_C</vt:lpstr>
      <vt:lpstr>PI_ChangeYr_A</vt:lpstr>
      <vt:lpstr>PI_ChangeYr_C</vt:lpstr>
      <vt:lpstr>PI12_Cost_A</vt:lpstr>
      <vt:lpstr>PI12_Cost_C</vt:lpstr>
      <vt:lpstr>PI12_Grow_A</vt:lpstr>
      <vt:lpstr>PI12_Grow_C</vt:lpstr>
      <vt:lpstr>PI12_PerYr_A</vt:lpstr>
      <vt:lpstr>PI12_PerYr_C</vt:lpstr>
      <vt:lpstr>PI12_Rate_A</vt:lpstr>
      <vt:lpstr>PI12_Rate_C</vt:lpstr>
      <vt:lpstr>PI12_Reduce_A</vt:lpstr>
      <vt:lpstr>PI12_Reduce_C</vt:lpstr>
      <vt:lpstr>PI12_Ref_A</vt:lpstr>
      <vt:lpstr>PI12_Ref_C</vt:lpstr>
      <vt:lpstr>PI34_Cost_A</vt:lpstr>
      <vt:lpstr>PI34_Cost_C</vt:lpstr>
      <vt:lpstr>PI34_Grow_A</vt:lpstr>
      <vt:lpstr>PI34_Grow_C</vt:lpstr>
      <vt:lpstr>PI34_PerYr_A</vt:lpstr>
      <vt:lpstr>PI34_PerYr_C</vt:lpstr>
      <vt:lpstr>PI34_Rate_A</vt:lpstr>
      <vt:lpstr>PI34_Rate_C</vt:lpstr>
      <vt:lpstr>PI34_Reduce_A</vt:lpstr>
      <vt:lpstr>PI34_Reduce_C</vt:lpstr>
      <vt:lpstr>PI34_Ref_A</vt:lpstr>
      <vt:lpstr>PI34_Ref_C</vt:lpstr>
      <vt:lpstr>Calculations!Print_Area</vt:lpstr>
      <vt:lpstr>Tornado!Print_Area</vt:lpstr>
      <vt:lpstr>PtDays_A</vt:lpstr>
      <vt:lpstr>PtDays_C</vt:lpstr>
      <vt:lpstr>PtDaysRef_A</vt:lpstr>
      <vt:lpstr>PtDaysRef_C</vt:lpstr>
      <vt:lpstr>Reference_year</vt:lpstr>
      <vt:lpstr>Retention_Costs_Savings</vt:lpstr>
      <vt:lpstr>Setup_A</vt:lpstr>
      <vt:lpstr>Setup_B</vt:lpstr>
      <vt:lpstr>Setup_C</vt:lpstr>
      <vt:lpstr>SHC_Patient_Days</vt:lpstr>
      <vt:lpstr>Staff_A</vt:lpstr>
      <vt:lpstr>Staff_C</vt:lpstr>
      <vt:lpstr>StaffCost_A</vt:lpstr>
      <vt:lpstr>StaffCost_C</vt:lpstr>
      <vt:lpstr>StaffCostGrow_A</vt:lpstr>
      <vt:lpstr>StaffCostGrow_C</vt:lpstr>
      <vt:lpstr>StaffCostRef_A</vt:lpstr>
      <vt:lpstr>StaffCostRef_C</vt:lpstr>
      <vt:lpstr>StaffGrowth_A</vt:lpstr>
      <vt:lpstr>StaffGrowth_C</vt:lpstr>
      <vt:lpstr>StaffRef_A</vt:lpstr>
      <vt:lpstr>StaffRef_C</vt:lpstr>
      <vt:lpstr>Standard_Growth_Rate</vt:lpstr>
      <vt:lpstr>TO_Period_A</vt:lpstr>
      <vt:lpstr>TO_Period_C</vt:lpstr>
      <vt:lpstr>TO_Rate_A</vt:lpstr>
      <vt:lpstr>TO_Rate_C</vt:lpstr>
      <vt:lpstr>TO_Rate_Injury_A</vt:lpstr>
      <vt:lpstr>TO_Rate_Injury_C</vt:lpstr>
      <vt:lpstr>TO_Red_A</vt:lpstr>
      <vt:lpstr>TO_Red_C</vt:lpstr>
      <vt:lpstr>TO_Yr_A</vt:lpstr>
      <vt:lpstr>TO_Yr_C</vt:lpstr>
      <vt:lpstr>Total_Retention_Cost__w__Program</vt:lpstr>
      <vt:lpstr>WC_ChangePeriod</vt:lpstr>
      <vt:lpstr>WC_ChangePeriod_Best</vt:lpstr>
      <vt:lpstr>WC_ChangePeriod_Worst</vt:lpstr>
      <vt:lpstr>WC_ChangeYear</vt:lpstr>
      <vt:lpstr>WC_ChangeYear_Best</vt:lpstr>
      <vt:lpstr>WC_ChangeYear_Worst</vt:lpstr>
      <vt:lpstr>WC_Cost_BC</vt:lpstr>
      <vt:lpstr>WC_Costs_Best</vt:lpstr>
      <vt:lpstr>WC_Costs_Worst</vt:lpstr>
      <vt:lpstr>WC_Growth_BC</vt:lpstr>
      <vt:lpstr>WC_Growth_Best</vt:lpstr>
      <vt:lpstr>WC_Growth_Worst</vt:lpstr>
      <vt:lpstr>WC_Reduction_Best</vt:lpstr>
      <vt:lpstr>WC_Reduction_Worst</vt:lpstr>
      <vt:lpstr>WC_ReductionRate_BC</vt:lpstr>
      <vt:lpstr>WC_ReductionRate_WC</vt:lpstr>
      <vt:lpstr>WC_Ref_Best</vt:lpstr>
      <vt:lpstr>WC_Ref_Worst</vt:lpstr>
      <vt:lpstr>WC_Ref_Year</vt:lpstr>
      <vt:lpstr>WORST</vt:lpstr>
    </vt:vector>
  </TitlesOfParts>
  <Company>SHC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Grenon, Veronique</dc:creator>
  <cp:lastModifiedBy>Simon Mawer</cp:lastModifiedBy>
  <cp:lastPrinted>2019-02-04T21:15:21Z</cp:lastPrinted>
  <dcterms:created xsi:type="dcterms:W3CDTF">2015-01-16T19:00:17Z</dcterms:created>
  <dcterms:modified xsi:type="dcterms:W3CDTF">2019-04-18T19:49:37Z</dcterms:modified>
</cp:coreProperties>
</file>